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Highways\Subcommittee Working Docs\117th\STR\Funding Tables\"/>
    </mc:Choice>
  </mc:AlternateContent>
  <xr:revisionPtr revIDLastSave="0" documentId="8_{948C0B2B-DD49-459A-9F2D-7343D9E2B900}" xr6:coauthVersionLast="45" xr6:coauthVersionMax="45" xr10:uidLastSave="{00000000-0000-0000-0000-000000000000}"/>
  <bookViews>
    <workbookView xWindow="-120" yWindow="-120" windowWidth="29040" windowHeight="15840" tabRatio="784" firstSheet="2" activeTab="2" xr2:uid="{00000000-000D-0000-FFFF-FFFF00000000}"/>
  </bookViews>
  <sheets>
    <sheet name="NOTES" sheetId="22" state="hidden" r:id="rId1"/>
    <sheet name="Budget STRRA" sheetId="6" state="hidden" r:id="rId2"/>
    <sheet name="Program Totals" sheetId="30" r:id="rId3"/>
    <sheet name="State totals FY 15-21" sheetId="24" state="hidden" r:id="rId4"/>
    <sheet name="Revised state totals " sheetId="2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0" l="1"/>
  <c r="H60" i="30" l="1"/>
  <c r="H59" i="30"/>
  <c r="G76" i="30" l="1"/>
  <c r="F76" i="30"/>
  <c r="E76" i="30"/>
  <c r="D76" i="30"/>
  <c r="H75" i="30"/>
  <c r="H74" i="30"/>
  <c r="C76" i="30"/>
  <c r="H63" i="30" l="1"/>
  <c r="H64" i="30"/>
  <c r="H65" i="30"/>
  <c r="H12" i="30"/>
  <c r="E46" i="30" l="1"/>
  <c r="D48" i="30"/>
  <c r="D4" i="30" s="1"/>
  <c r="D52" i="30" l="1"/>
  <c r="C8" i="30"/>
  <c r="C9" i="30"/>
  <c r="C11" i="30"/>
  <c r="C13" i="30" s="1"/>
  <c r="C26" i="30"/>
  <c r="C20" i="30" s="1"/>
  <c r="C46" i="30"/>
  <c r="C47" i="30"/>
  <c r="C25" i="30" l="1"/>
  <c r="D26" i="30"/>
  <c r="D20" i="30" s="1"/>
  <c r="D5" i="30" s="1"/>
  <c r="G16" i="30" l="1"/>
  <c r="F16" i="30"/>
  <c r="E16" i="30"/>
  <c r="D16" i="30"/>
  <c r="F52" i="30" l="1"/>
  <c r="G52" i="30"/>
  <c r="E52" i="30"/>
  <c r="F48" i="30" l="1"/>
  <c r="F4" i="30" s="1"/>
  <c r="G48" i="30"/>
  <c r="G4" i="30" s="1"/>
  <c r="E48" i="30"/>
  <c r="E4" i="30" s="1"/>
  <c r="H43" i="30"/>
  <c r="H36" i="30"/>
  <c r="H35" i="30"/>
  <c r="H30" i="30" l="1"/>
  <c r="H14" i="30" l="1"/>
  <c r="H55" i="30"/>
  <c r="H42" i="30"/>
  <c r="H41" i="30"/>
  <c r="H38" i="30"/>
  <c r="H33" i="30"/>
  <c r="H31" i="30"/>
  <c r="H32" i="30"/>
  <c r="H34" i="30"/>
  <c r="H23" i="30" l="1"/>
  <c r="H18" i="30"/>
  <c r="H67" i="30" l="1"/>
  <c r="H66" i="30"/>
  <c r="H62" i="30"/>
  <c r="H76" i="30" s="1"/>
  <c r="H58" i="30"/>
  <c r="H57" i="30"/>
  <c r="H56" i="30"/>
  <c r="H53" i="30"/>
  <c r="H51" i="30"/>
  <c r="H50" i="30"/>
  <c r="H45" i="30"/>
  <c r="H44" i="30"/>
  <c r="H39" i="30"/>
  <c r="H37" i="30"/>
  <c r="H40" i="30"/>
  <c r="H29" i="30"/>
  <c r="H28" i="30"/>
  <c r="H27" i="30"/>
  <c r="H24" i="30"/>
  <c r="H22" i="30"/>
  <c r="H21" i="30"/>
  <c r="H19" i="30"/>
  <c r="H17" i="30"/>
  <c r="H15" i="30"/>
  <c r="H10" i="30"/>
  <c r="H7" i="30"/>
  <c r="H6" i="30"/>
  <c r="G11" i="30" l="1"/>
  <c r="G13" i="30" s="1"/>
  <c r="F11" i="30"/>
  <c r="F13" i="30" s="1"/>
  <c r="E11" i="30"/>
  <c r="E13" i="30" s="1"/>
  <c r="D11" i="30"/>
  <c r="D13" i="30" s="1"/>
  <c r="G9" i="30"/>
  <c r="F9" i="30"/>
  <c r="E9" i="30"/>
  <c r="D9" i="30"/>
  <c r="G8" i="30"/>
  <c r="F8" i="30"/>
  <c r="E8" i="30"/>
  <c r="D8" i="30"/>
  <c r="F26" i="30"/>
  <c r="F20" i="30" s="1"/>
  <c r="F5" i="30" s="1"/>
  <c r="F46" i="30"/>
  <c r="D46" i="30"/>
  <c r="E26" i="30"/>
  <c r="G26" i="30"/>
  <c r="G20" i="30" s="1"/>
  <c r="G5" i="30" s="1"/>
  <c r="G46" i="30"/>
  <c r="G47" i="30"/>
  <c r="F47" i="30"/>
  <c r="E47" i="30"/>
  <c r="D47" i="30"/>
  <c r="H82" i="26"/>
  <c r="H84" i="26" s="1"/>
  <c r="H69" i="26" s="1"/>
  <c r="G82" i="26"/>
  <c r="G84" i="26" s="1"/>
  <c r="G69" i="26" s="1"/>
  <c r="F82" i="26"/>
  <c r="F84" i="26" s="1"/>
  <c r="F69" i="26" s="1"/>
  <c r="E82" i="26"/>
  <c r="E84" i="26" s="1"/>
  <c r="E69" i="26" s="1"/>
  <c r="D82" i="26"/>
  <c r="D84" i="26" s="1"/>
  <c r="D69" i="26" s="1"/>
  <c r="C82" i="26"/>
  <c r="C84" i="26" s="1"/>
  <c r="C69" i="26" s="1"/>
  <c r="C85" i="26" s="1"/>
  <c r="B82" i="26"/>
  <c r="H70" i="24"/>
  <c r="H73" i="24"/>
  <c r="G70" i="24"/>
  <c r="F70" i="24"/>
  <c r="F73" i="24"/>
  <c r="F78" i="24" s="1"/>
  <c r="E70" i="24"/>
  <c r="D70" i="24"/>
  <c r="D78" i="24" s="1"/>
  <c r="D73" i="24"/>
  <c r="C70" i="24"/>
  <c r="B70" i="24"/>
  <c r="B78" i="24" s="1"/>
  <c r="G73" i="24"/>
  <c r="E73" i="24"/>
  <c r="C73" i="24"/>
  <c r="H79" i="24"/>
  <c r="F79" i="24"/>
  <c r="D79" i="24"/>
  <c r="C79" i="24"/>
  <c r="G79" i="24"/>
  <c r="B79" i="24"/>
  <c r="E79" i="24"/>
  <c r="T2" i="6"/>
  <c r="E85" i="24"/>
  <c r="D85" i="24"/>
  <c r="H85" i="24"/>
  <c r="N35" i="6"/>
  <c r="N37" i="6" s="1"/>
  <c r="C27" i="6"/>
  <c r="D27" i="6" s="1"/>
  <c r="U3" i="6"/>
  <c r="V3" i="6" s="1"/>
  <c r="R3" i="6"/>
  <c r="S3" i="6" s="1"/>
  <c r="O3" i="6"/>
  <c r="P3" i="6"/>
  <c r="L3" i="6"/>
  <c r="M3" i="6" s="1"/>
  <c r="I3" i="6"/>
  <c r="I4" i="6" s="1"/>
  <c r="J3" i="6"/>
  <c r="F3" i="6"/>
  <c r="B23" i="6"/>
  <c r="B20" i="6"/>
  <c r="B21" i="6" s="1"/>
  <c r="R34" i="6"/>
  <c r="S34" i="6" s="1"/>
  <c r="R37" i="6"/>
  <c r="S19" i="6"/>
  <c r="S15" i="6"/>
  <c r="R11" i="6"/>
  <c r="R13" i="6" s="1"/>
  <c r="R9" i="6"/>
  <c r="S9" i="6" s="1"/>
  <c r="S5" i="6"/>
  <c r="O34" i="6"/>
  <c r="O37" i="6" s="1"/>
  <c r="P34" i="6"/>
  <c r="P19" i="6"/>
  <c r="P15" i="6"/>
  <c r="O11" i="6"/>
  <c r="O13" i="6" s="1"/>
  <c r="O9" i="6"/>
  <c r="P9" i="6" s="1"/>
  <c r="P5" i="6"/>
  <c r="O4" i="6"/>
  <c r="L34" i="6"/>
  <c r="M19" i="6"/>
  <c r="M15" i="6"/>
  <c r="L11" i="6"/>
  <c r="L13" i="6"/>
  <c r="L9" i="6"/>
  <c r="M9" i="6" s="1"/>
  <c r="M5" i="6"/>
  <c r="I34" i="6"/>
  <c r="J34" i="6"/>
  <c r="J19" i="6"/>
  <c r="J15" i="6"/>
  <c r="I11" i="6"/>
  <c r="I13" i="6" s="1"/>
  <c r="I9" i="6"/>
  <c r="J9" i="6" s="1"/>
  <c r="J5" i="6"/>
  <c r="F34" i="6"/>
  <c r="F37" i="6" s="1"/>
  <c r="G19" i="6"/>
  <c r="G15" i="6"/>
  <c r="F11" i="6"/>
  <c r="F13" i="6" s="1"/>
  <c r="F9" i="6"/>
  <c r="G9" i="6" s="1"/>
  <c r="I37" i="6"/>
  <c r="G34" i="6"/>
  <c r="U34" i="6"/>
  <c r="U37" i="6" s="1"/>
  <c r="V19" i="6"/>
  <c r="V15" i="6"/>
  <c r="U11" i="6"/>
  <c r="U13" i="6" s="1"/>
  <c r="U9" i="6"/>
  <c r="V9" i="6" s="1"/>
  <c r="V5" i="6"/>
  <c r="U4" i="6"/>
  <c r="V34" i="6"/>
  <c r="T31" i="6"/>
  <c r="T32" i="6" s="1"/>
  <c r="V32" i="6" s="1"/>
  <c r="Q31" i="6"/>
  <c r="R31" i="6" s="1"/>
  <c r="N31" i="6"/>
  <c r="O31" i="6" s="1"/>
  <c r="K31" i="6"/>
  <c r="L31" i="6" s="1"/>
  <c r="H31" i="6"/>
  <c r="I31" i="6" s="1"/>
  <c r="J31" i="6" s="1"/>
  <c r="E31" i="6"/>
  <c r="F31" i="6" s="1"/>
  <c r="D15" i="6"/>
  <c r="D35" i="6"/>
  <c r="Q2" i="6"/>
  <c r="N2" i="6"/>
  <c r="K2" i="6"/>
  <c r="H2" i="6"/>
  <c r="E2" i="6"/>
  <c r="B37" i="6"/>
  <c r="T35" i="6"/>
  <c r="T37" i="6" s="1"/>
  <c r="V37" i="6" s="1"/>
  <c r="Q35" i="6"/>
  <c r="S35" i="6" s="1"/>
  <c r="K35" i="6"/>
  <c r="M35" i="6"/>
  <c r="H35" i="6"/>
  <c r="H37" i="6" s="1"/>
  <c r="J35" i="6"/>
  <c r="E35" i="6"/>
  <c r="G35" i="6" s="1"/>
  <c r="T28" i="6"/>
  <c r="U28" i="6" s="1"/>
  <c r="Q28" i="6"/>
  <c r="R28" i="6" s="1"/>
  <c r="S28" i="6" s="1"/>
  <c r="N28" i="6"/>
  <c r="O28" i="6" s="1"/>
  <c r="K28" i="6"/>
  <c r="L28" i="6" s="1"/>
  <c r="M28" i="6" s="1"/>
  <c r="H28" i="6"/>
  <c r="E28" i="6"/>
  <c r="F28" i="6" s="1"/>
  <c r="T27" i="6"/>
  <c r="U27" i="6" s="1"/>
  <c r="Q27" i="6"/>
  <c r="R27" i="6" s="1"/>
  <c r="N27" i="6"/>
  <c r="O27" i="6" s="1"/>
  <c r="P27" i="6" s="1"/>
  <c r="K27" i="6"/>
  <c r="L27" i="6" s="1"/>
  <c r="H27" i="6"/>
  <c r="E27" i="6"/>
  <c r="T23" i="6"/>
  <c r="T20" i="6"/>
  <c r="T21" i="6" s="1"/>
  <c r="Q23" i="6"/>
  <c r="Q20" i="6"/>
  <c r="Q21" i="6" s="1"/>
  <c r="N23" i="6"/>
  <c r="N20" i="6"/>
  <c r="N21" i="6" s="1"/>
  <c r="K23" i="6"/>
  <c r="K20" i="6"/>
  <c r="H23" i="6"/>
  <c r="H20" i="6"/>
  <c r="H22" i="6" s="1"/>
  <c r="E23" i="6"/>
  <c r="E20" i="6"/>
  <c r="E22" i="6" s="1"/>
  <c r="T14" i="6"/>
  <c r="Q14" i="6"/>
  <c r="Q13" i="6" s="1"/>
  <c r="N14" i="6"/>
  <c r="K14" i="6"/>
  <c r="H14" i="6"/>
  <c r="E14" i="6"/>
  <c r="B14" i="6"/>
  <c r="E17" i="6"/>
  <c r="H17" i="6"/>
  <c r="J17" i="6" s="1"/>
  <c r="K17" i="6"/>
  <c r="K13" i="6" s="1"/>
  <c r="N17" i="6"/>
  <c r="P17" i="6" s="1"/>
  <c r="Q17" i="6"/>
  <c r="T17" i="6"/>
  <c r="V17" i="6" s="1"/>
  <c r="T4" i="6"/>
  <c r="Q4" i="6"/>
  <c r="N4" i="6"/>
  <c r="K4" i="6"/>
  <c r="H4" i="6"/>
  <c r="E4" i="6"/>
  <c r="I28" i="6"/>
  <c r="J28" i="6" s="1"/>
  <c r="S17" i="6"/>
  <c r="G17" i="6"/>
  <c r="F27" i="6"/>
  <c r="Q37" i="6"/>
  <c r="K37" i="6"/>
  <c r="K22" i="6"/>
  <c r="K21" i="6"/>
  <c r="C31" i="6"/>
  <c r="D31" i="6" s="1"/>
  <c r="D32" i="6"/>
  <c r="C28" i="6"/>
  <c r="D28" i="6" s="1"/>
  <c r="D5" i="6"/>
  <c r="D4" i="6"/>
  <c r="C9" i="6"/>
  <c r="D9" i="6" s="1"/>
  <c r="D19" i="6"/>
  <c r="B29" i="6"/>
  <c r="B26" i="6"/>
  <c r="B3" i="6"/>
  <c r="C11" i="6"/>
  <c r="B17" i="6"/>
  <c r="D17" i="6" s="1"/>
  <c r="C34" i="6"/>
  <c r="D34" i="6" s="1"/>
  <c r="G85" i="24"/>
  <c r="F85" i="24"/>
  <c r="H78" i="24" l="1"/>
  <c r="V35" i="6"/>
  <c r="J11" i="6"/>
  <c r="V4" i="6"/>
  <c r="J37" i="6"/>
  <c r="H13" i="6"/>
  <c r="J13" i="6" s="1"/>
  <c r="J18" i="6" s="1"/>
  <c r="S37" i="6"/>
  <c r="S38" i="6" s="1"/>
  <c r="K32" i="6"/>
  <c r="M32" i="6" s="1"/>
  <c r="P35" i="6"/>
  <c r="S11" i="6"/>
  <c r="M11" i="6"/>
  <c r="H32" i="6"/>
  <c r="J32" i="6" s="1"/>
  <c r="B13" i="6"/>
  <c r="P11" i="6"/>
  <c r="P2" i="6" s="1"/>
  <c r="D11" i="6"/>
  <c r="J4" i="6"/>
  <c r="M13" i="6"/>
  <c r="M18" i="6" s="1"/>
  <c r="S13" i="6"/>
  <c r="E13" i="6"/>
  <c r="E37" i="6"/>
  <c r="G37" i="6" s="1"/>
  <c r="V11" i="6"/>
  <c r="B81" i="24"/>
  <c r="G78" i="24"/>
  <c r="G81" i="24" s="1"/>
  <c r="G83" i="24" s="1"/>
  <c r="N32" i="6"/>
  <c r="P32" i="6" s="1"/>
  <c r="M17" i="6"/>
  <c r="P4" i="6"/>
  <c r="D81" i="24"/>
  <c r="D83" i="24" s="1"/>
  <c r="P37" i="6"/>
  <c r="P38" i="6" s="1"/>
  <c r="N13" i="6"/>
  <c r="P13" i="6" s="1"/>
  <c r="Q22" i="6"/>
  <c r="P31" i="6"/>
  <c r="G31" i="6"/>
  <c r="G13" i="6"/>
  <c r="J2" i="6"/>
  <c r="C78" i="24"/>
  <c r="C81" i="24" s="1"/>
  <c r="C83" i="24" s="1"/>
  <c r="S18" i="6"/>
  <c r="M27" i="6"/>
  <c r="I27" i="6"/>
  <c r="J27" i="6" s="1"/>
  <c r="G27" i="6"/>
  <c r="L4" i="6"/>
  <c r="M4" i="6" s="1"/>
  <c r="E78" i="24"/>
  <c r="E81" i="24" s="1"/>
  <c r="E83" i="24" s="1"/>
  <c r="E25" i="30"/>
  <c r="E20" i="30"/>
  <c r="E5" i="30" s="1"/>
  <c r="D25" i="30"/>
  <c r="H8" i="30"/>
  <c r="H9" i="30"/>
  <c r="H47" i="30"/>
  <c r="H13" i="30"/>
  <c r="V38" i="6"/>
  <c r="G18" i="6"/>
  <c r="L37" i="6"/>
  <c r="M37" i="6" s="1"/>
  <c r="M38" i="6" s="1"/>
  <c r="M34" i="6"/>
  <c r="M2" i="6" s="1"/>
  <c r="C37" i="6"/>
  <c r="D37" i="6" s="1"/>
  <c r="D38" i="6" s="1"/>
  <c r="P28" i="6"/>
  <c r="V28" i="6"/>
  <c r="G28" i="6"/>
  <c r="E32" i="6"/>
  <c r="G32" i="6" s="1"/>
  <c r="U31" i="6"/>
  <c r="V31" i="6" s="1"/>
  <c r="F81" i="24"/>
  <c r="F83" i="24" s="1"/>
  <c r="E21" i="6"/>
  <c r="T22" i="6"/>
  <c r="M31" i="6"/>
  <c r="R4" i="6"/>
  <c r="S4" i="6" s="1"/>
  <c r="H81" i="24"/>
  <c r="H83" i="24" s="1"/>
  <c r="V27" i="6"/>
  <c r="S27" i="6"/>
  <c r="H21" i="6"/>
  <c r="J38" i="6" s="1"/>
  <c r="N22" i="6"/>
  <c r="S31" i="6"/>
  <c r="G3" i="6"/>
  <c r="F4" i="6"/>
  <c r="G4" i="6" s="1"/>
  <c r="C13" i="6"/>
  <c r="Q32" i="6"/>
  <c r="S32" i="6" s="1"/>
  <c r="G11" i="6"/>
  <c r="B22" i="6"/>
  <c r="D18" i="6" s="1"/>
  <c r="T13" i="6"/>
  <c r="V13" i="6" s="1"/>
  <c r="V18" i="6" s="1"/>
  <c r="B85" i="24"/>
  <c r="H26" i="30"/>
  <c r="G25" i="30"/>
  <c r="F25" i="30"/>
  <c r="H46" i="30"/>
  <c r="H11" i="30"/>
  <c r="P18" i="6" l="1"/>
  <c r="G38" i="6"/>
  <c r="H20" i="30"/>
  <c r="H25" i="30"/>
  <c r="G2" i="6"/>
  <c r="C85" i="24" l="1"/>
  <c r="H48" i="30" l="1"/>
  <c r="H49" i="30"/>
  <c r="H4" i="30" l="1"/>
  <c r="H77" i="30" s="1"/>
  <c r="H52" i="30"/>
</calcChain>
</file>

<file path=xl/sharedStrings.xml><?xml version="1.0" encoding="utf-8"?>
<sst xmlns="http://schemas.openxmlformats.org/spreadsheetml/2006/main" count="333" uniqueCount="206">
  <si>
    <t>Transit Oriented Development (Discretionary Pilot)</t>
  </si>
  <si>
    <t>Metropolitan Transportation Planning</t>
  </si>
  <si>
    <t>Planning Programs</t>
  </si>
  <si>
    <t>Statewide Transportation Planning</t>
  </si>
  <si>
    <t>Urbanized Area Formula Grants</t>
  </si>
  <si>
    <t>Passenger Ferry Boat Program</t>
  </si>
  <si>
    <t>Operational Support Of State Safety Oversight</t>
  </si>
  <si>
    <t>Enhanced Mobility of Seniors and Individuals with Disabilities</t>
  </si>
  <si>
    <t>Formula Grants for Rural Areas</t>
  </si>
  <si>
    <t>Rural Tranportation Assistance Program</t>
  </si>
  <si>
    <t xml:space="preserve">Appalachian Development Public Transportation Assistance Program </t>
  </si>
  <si>
    <t>Bus Testing Facility</t>
  </si>
  <si>
    <t>National Transit Database</t>
  </si>
  <si>
    <t>State of Good Repair Grants</t>
  </si>
  <si>
    <t>High Intensity Fixed Guideway Formula</t>
  </si>
  <si>
    <t xml:space="preserve">High Intensity Motorbus State of Good Repair </t>
  </si>
  <si>
    <t xml:space="preserve">Bus and Bus Facilities Grants </t>
  </si>
  <si>
    <t>High Density State Apportionments</t>
  </si>
  <si>
    <t xml:space="preserve">Growing State Apportionments </t>
  </si>
  <si>
    <t>Administrative Expenses</t>
  </si>
  <si>
    <t>Capital Investment Grants</t>
  </si>
  <si>
    <t>Research, Development, Demonstration and Deployment Projects</t>
  </si>
  <si>
    <t>Human Resources and Training</t>
  </si>
  <si>
    <t>Low and No Emissions Buses</t>
  </si>
  <si>
    <t>Facilities and Equipment Relating to Low/No Emissions Buses</t>
  </si>
  <si>
    <t>Transit Research</t>
  </si>
  <si>
    <t>National Transit Institute</t>
  </si>
  <si>
    <t>States and Territories Allocation</t>
  </si>
  <si>
    <t>Formula Allocation</t>
  </si>
  <si>
    <t>2015 Enacted Full Year</t>
  </si>
  <si>
    <t>Other Research, Development, Demonstration and Deployment Projects</t>
  </si>
  <si>
    <t>Oversight Takedown</t>
  </si>
  <si>
    <t>Oversight takedown</t>
  </si>
  <si>
    <t>Allocated by formula</t>
  </si>
  <si>
    <t>Alliocated by formula</t>
  </si>
  <si>
    <t>State</t>
  </si>
  <si>
    <t>Alaska……………………………………….</t>
  </si>
  <si>
    <t>American Samoa…………………………….</t>
  </si>
  <si>
    <t>Arizona……………………………………….</t>
  </si>
  <si>
    <t>Arkansas…………………………………….</t>
  </si>
  <si>
    <t>Colorado…………………………………….</t>
  </si>
  <si>
    <t>Delaware…………………………………….</t>
  </si>
  <si>
    <t>District of Columbia……………………….</t>
  </si>
  <si>
    <t>Florida……………………………………….</t>
  </si>
  <si>
    <t>Georgia………………………………………</t>
  </si>
  <si>
    <t>Guam…………………………………………</t>
  </si>
  <si>
    <t>Hawaii……………………………………….</t>
  </si>
  <si>
    <t>Idaho………………………………………….</t>
  </si>
  <si>
    <t>Indiana………………………………………</t>
  </si>
  <si>
    <t>Iowa………………………………………….</t>
  </si>
  <si>
    <t>Kansas……………………………………….</t>
  </si>
  <si>
    <t>Kentucky……………………………………</t>
  </si>
  <si>
    <t>Louisiana…………………………………….</t>
  </si>
  <si>
    <t>Maine…………………………………………</t>
  </si>
  <si>
    <t>Maryland…………………………………….</t>
  </si>
  <si>
    <t>Massachusetts…………………………….</t>
  </si>
  <si>
    <t>Michigan…………………………………….</t>
  </si>
  <si>
    <t>Minnesota………………………………….</t>
  </si>
  <si>
    <t>Mississippi………………………………….</t>
  </si>
  <si>
    <t>Missouri…………………………………….</t>
  </si>
  <si>
    <t>N. Mariana Islands………………………….</t>
  </si>
  <si>
    <t>Nebraska…………………………………….</t>
  </si>
  <si>
    <t>Nevada……………………………………….</t>
  </si>
  <si>
    <t>New Hampshire…………………………….</t>
  </si>
  <si>
    <t>New Jersey………………………………….</t>
  </si>
  <si>
    <t>New Mexico…………………………………</t>
  </si>
  <si>
    <t>New York…………………………………….</t>
  </si>
  <si>
    <t>North Carolina……………………………………</t>
  </si>
  <si>
    <t>North Dakota……………………………….</t>
  </si>
  <si>
    <t>Oklahoma……………………………………</t>
  </si>
  <si>
    <t>Oregon……………………………………….</t>
  </si>
  <si>
    <t>Pennsylvania……………………………….</t>
  </si>
  <si>
    <t>Puerto Rico………………………………….</t>
  </si>
  <si>
    <t>South Carolina………………………………</t>
  </si>
  <si>
    <t>South Dakota……………………………….</t>
  </si>
  <si>
    <t>Tennessee………………………………….</t>
  </si>
  <si>
    <t>Texas…………………………………………</t>
  </si>
  <si>
    <t>Utah………………………………………….</t>
  </si>
  <si>
    <t>Virginia……………………………………….</t>
  </si>
  <si>
    <t>Washington…………………………………</t>
  </si>
  <si>
    <t>West Virginia………………………………</t>
  </si>
  <si>
    <t>State Total</t>
  </si>
  <si>
    <t>Unallocated……………….</t>
  </si>
  <si>
    <t>Subtotal</t>
  </si>
  <si>
    <t>Oversight</t>
  </si>
  <si>
    <t>Ferry discretionary Program</t>
  </si>
  <si>
    <t>Total</t>
  </si>
  <si>
    <t>*Allocations for UZAs that are within multiple-states are split between the applicable states.</t>
  </si>
  <si>
    <t>Growing States and High Density States Formula --combine with 5307</t>
  </si>
  <si>
    <t>Urbanized Area Formula Grants --combine with 5340</t>
  </si>
  <si>
    <t>5311 Share</t>
  </si>
  <si>
    <t>5307 Share</t>
  </si>
  <si>
    <t>Alabama……………………………………</t>
  </si>
  <si>
    <t>California…………………………………</t>
  </si>
  <si>
    <t>Connecticut………………………………</t>
  </si>
  <si>
    <t>Illinois………………………………………</t>
  </si>
  <si>
    <t>Montana……………………………………</t>
  </si>
  <si>
    <t>Ohio…………………………………………</t>
  </si>
  <si>
    <t>Rhode Island………………………………</t>
  </si>
  <si>
    <t>Vermont……………………………………</t>
  </si>
  <si>
    <t>Virgin Islands………………………………</t>
  </si>
  <si>
    <t>Wisconsin…………………………………</t>
  </si>
  <si>
    <t>Wyoming………………………………….</t>
  </si>
  <si>
    <t>High Intensity Fixed Guideway Formula $100M</t>
  </si>
  <si>
    <t>No/Low Competitive Grant Program (from within Competitive Program)</t>
  </si>
  <si>
    <t>COMPETITIVE GRANTS</t>
  </si>
  <si>
    <t>Public Transportation on Indian Reservations --formula</t>
  </si>
  <si>
    <t>Public Transportation on Indian Reservations --discretionary</t>
  </si>
  <si>
    <t>Component Testing</t>
  </si>
  <si>
    <t xml:space="preserve">   Transit Cooperative Research</t>
  </si>
  <si>
    <t>Technical Assistance and Training (5314)</t>
  </si>
  <si>
    <t>Innovative Workforce Development 5322(b)</t>
  </si>
  <si>
    <t>Trust Funded Programs</t>
  </si>
  <si>
    <t>Pilot Program for Enhanced Mobility</t>
  </si>
  <si>
    <t>Projects of National Scope (NRTAP)</t>
  </si>
  <si>
    <t>Combined 5307/5340</t>
  </si>
  <si>
    <t>Combined 5311/5340</t>
  </si>
  <si>
    <t>General Funded Programs</t>
  </si>
  <si>
    <t>Pilot Progam for Expedited Project Delivery</t>
  </si>
  <si>
    <t>Safety</t>
  </si>
  <si>
    <t>Transit Asset Management</t>
  </si>
  <si>
    <t>Technical Assitance</t>
  </si>
  <si>
    <t>Tribal discretionary Program</t>
  </si>
  <si>
    <t>National RTAP</t>
  </si>
  <si>
    <r>
      <t xml:space="preserve">10-20-2015:  </t>
    </r>
    <r>
      <rPr>
        <sz val="11"/>
        <color theme="1"/>
        <rFont val="Calibri"/>
        <family val="2"/>
        <scheme val="minor"/>
      </rPr>
      <t>This workbook reflects runs for the STRRA bill</t>
    </r>
  </si>
  <si>
    <t>11-6-15: This workbook reflects the STRRA Legislation as passed by the House. Changes since 10-20 version = no High Density States Allocation, 2% STIC from FY 19-21 and current law formula for 5337 HIMB Tier.</t>
  </si>
  <si>
    <t>FY 15 State Total</t>
  </si>
  <si>
    <t>FY 16 State Total</t>
  </si>
  <si>
    <t>FY 17 State total</t>
  </si>
  <si>
    <t>FY  18 State Total</t>
  </si>
  <si>
    <t xml:space="preserve">FY 19 State Total </t>
  </si>
  <si>
    <t>FY 20 State Total</t>
  </si>
  <si>
    <t xml:space="preserve">FY 21 State Total </t>
  </si>
  <si>
    <t>Trust Fund</t>
  </si>
  <si>
    <t>5311(c)(1)</t>
  </si>
  <si>
    <t>5311(c)(2)</t>
  </si>
  <si>
    <t xml:space="preserve">National Transit Institute </t>
  </si>
  <si>
    <t>General Fund</t>
  </si>
  <si>
    <t>Disclaimer: This technical drafting assistance is provided in response to a Congressional request and is not intended to reflect the viewpoint or policies of any element of the Department of Transportation or the Administration.</t>
  </si>
  <si>
    <t xml:space="preserve">STRR Act ESTIMATED APPORTIONMENTS/ALLOCATIONS BY STATE PER YEAR </t>
  </si>
  <si>
    <t>Bus discretionary - underlying</t>
  </si>
  <si>
    <t>Bus Discretionary TOTAL</t>
  </si>
  <si>
    <t>Bus discr. - H-B amendment</t>
  </si>
  <si>
    <t>FY 15</t>
  </si>
  <si>
    <t>FY 16</t>
  </si>
  <si>
    <t>FY 17</t>
  </si>
  <si>
    <t xml:space="preserve">FY 18 </t>
  </si>
  <si>
    <t>FY 19</t>
  </si>
  <si>
    <t xml:space="preserve">FY 20 </t>
  </si>
  <si>
    <t>FY 21</t>
  </si>
  <si>
    <t>Transit Oriented Development</t>
  </si>
  <si>
    <t xml:space="preserve">Bus Testing </t>
  </si>
  <si>
    <t>Oversight (2)</t>
  </si>
  <si>
    <t xml:space="preserve">TF </t>
  </si>
  <si>
    <t xml:space="preserve">Differential </t>
  </si>
  <si>
    <t>TOTALS</t>
  </si>
  <si>
    <t>Contract Authority/Obligation Limtiation</t>
  </si>
  <si>
    <t>Obligation Limitation/Contract Authority</t>
  </si>
  <si>
    <t>5303 (20005(b))</t>
  </si>
  <si>
    <t xml:space="preserve">Urbanized Area Formula Grants </t>
  </si>
  <si>
    <t>Public Transportation on Indian Reservations Formula</t>
  </si>
  <si>
    <t>Public Transportation on Indian Reservations Competitive</t>
  </si>
  <si>
    <t>Rural Transportation Assistance Program</t>
  </si>
  <si>
    <t>Component Testing (NEW)</t>
  </si>
  <si>
    <t>5322/5314</t>
  </si>
  <si>
    <t>Human Resources and Training **(including NTI)</t>
  </si>
  <si>
    <t>5322 (d)</t>
  </si>
  <si>
    <t xml:space="preserve">   Bus and Bus Facilities Formula Grants (total)</t>
  </si>
  <si>
    <t>States and Territories Minimum Allocation</t>
  </si>
  <si>
    <t>Growing States and High Density States Formula</t>
  </si>
  <si>
    <t>Transit Research **</t>
  </si>
  <si>
    <t>Technical Assistance and Training</t>
  </si>
  <si>
    <t>Safety Oversight</t>
  </si>
  <si>
    <t>Projects of National Scope (non add within RTAP)</t>
  </si>
  <si>
    <t>General Fund Subtotal</t>
  </si>
  <si>
    <t>FY 2022</t>
  </si>
  <si>
    <t>FY 2023</t>
  </si>
  <si>
    <t>FY 2024</t>
  </si>
  <si>
    <t>One-Stop Paratransit Program</t>
  </si>
  <si>
    <t>Rural Persistent Poverty Formula</t>
  </si>
  <si>
    <t>5312 (j)</t>
  </si>
  <si>
    <t>Demonstration Grants to Support Reduced Fare Transit</t>
  </si>
  <si>
    <t>Mobility Innovation Sandbox Program</t>
  </si>
  <si>
    <t>Transit Operator Compartment Redesign Program</t>
  </si>
  <si>
    <t>Every Day Counts Initiative</t>
  </si>
  <si>
    <t>National Frontline Workforce Training Center</t>
  </si>
  <si>
    <t>5314(b)</t>
  </si>
  <si>
    <t>Transit Supportive Communities</t>
  </si>
  <si>
    <t>Transit Oriented Development Planning</t>
  </si>
  <si>
    <t>Zero Emissions Grants</t>
  </si>
  <si>
    <t>Bus Facilities and Fleet Expansion Competitive Grants</t>
  </si>
  <si>
    <t>Restoration of the State of Good Repair Formula Subgrant</t>
  </si>
  <si>
    <t>Multi-jurisdictional Bus Frequency and Ridership Competitive Grants</t>
  </si>
  <si>
    <t>5312 (d)(3)</t>
  </si>
  <si>
    <t>5312 (d)(4)</t>
  </si>
  <si>
    <t>FY 2025</t>
  </si>
  <si>
    <t>5314(a)</t>
  </si>
  <si>
    <t>5328(c)</t>
  </si>
  <si>
    <t>5312(d)(3), 5313(d)(4), and 5312(j)</t>
  </si>
  <si>
    <t>Transit Cooperative Research (NEW)**</t>
  </si>
  <si>
    <t>FY 2026</t>
  </si>
  <si>
    <t>Funding by State Table Totals</t>
  </si>
  <si>
    <t>Reducing Transit Deserts</t>
  </si>
  <si>
    <t>All Station Accessibility Program</t>
  </si>
  <si>
    <t>WMATA</t>
  </si>
  <si>
    <t>National advanced technology transit bus development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</si>
</sst>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#,##0.00000"/>
    <numFmt numFmtId="167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10"/>
      <name val="Arial MT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indexed="12"/>
      <name val="Times New Roman"/>
      <family val="1"/>
    </font>
    <font>
      <u/>
      <sz val="9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1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0" fontId="2" fillId="3" borderId="1" xfId="0" applyFont="1" applyFill="1" applyBorder="1"/>
    <xf numFmtId="3" fontId="0" fillId="0" borderId="0" xfId="0" applyNumberFormat="1"/>
    <xf numFmtId="164" fontId="0" fillId="0" borderId="0" xfId="0" applyNumberFormat="1" applyFont="1"/>
    <xf numFmtId="0" fontId="0" fillId="0" borderId="0" xfId="0" applyFont="1"/>
    <xf numFmtId="164" fontId="2" fillId="2" borderId="0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4" borderId="0" xfId="0" applyFill="1" applyAlignment="1">
      <alignment horizontal="left" indent="2"/>
    </xf>
    <xf numFmtId="164" fontId="0" fillId="4" borderId="0" xfId="0" applyNumberFormat="1" applyFill="1"/>
    <xf numFmtId="0" fontId="0" fillId="4" borderId="0" xfId="0" applyFill="1"/>
    <xf numFmtId="164" fontId="2" fillId="5" borderId="2" xfId="0" applyNumberFormat="1" applyFont="1" applyFill="1" applyBorder="1"/>
    <xf numFmtId="164" fontId="0" fillId="5" borderId="2" xfId="0" applyNumberFormat="1" applyFont="1" applyFill="1" applyBorder="1"/>
    <xf numFmtId="164" fontId="0" fillId="5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2" fillId="5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3" fontId="4" fillId="0" borderId="3" xfId="0" applyNumberFormat="1" applyFont="1" applyFill="1" applyBorder="1" applyAlignment="1">
      <alignment horizontal="center"/>
    </xf>
    <xf numFmtId="3" fontId="4" fillId="0" borderId="0" xfId="0" applyNumberFormat="1" applyFont="1" applyFill="1" applyProtection="1"/>
    <xf numFmtId="3" fontId="4" fillId="0" borderId="0" xfId="0" applyNumberFormat="1" applyFont="1" applyFill="1" applyAlignment="1" applyProtection="1">
      <alignment horizontal="left" indent="1"/>
    </xf>
    <xf numFmtId="164" fontId="0" fillId="4" borderId="0" xfId="0" applyNumberFormat="1" applyFont="1" applyFill="1"/>
    <xf numFmtId="37" fontId="0" fillId="0" borderId="0" xfId="0" applyNumberFormat="1"/>
    <xf numFmtId="43" fontId="0" fillId="0" borderId="0" xfId="0" applyNumberFormat="1"/>
    <xf numFmtId="37" fontId="0" fillId="0" borderId="0" xfId="0" applyNumberFormat="1" applyFont="1"/>
    <xf numFmtId="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left"/>
    </xf>
    <xf numFmtId="165" fontId="0" fillId="0" borderId="0" xfId="0" applyNumberFormat="1" applyFont="1"/>
    <xf numFmtId="166" fontId="0" fillId="0" borderId="0" xfId="0" applyNumberFormat="1"/>
    <xf numFmtId="3" fontId="0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 indent="2"/>
    </xf>
    <xf numFmtId="3" fontId="0" fillId="0" borderId="0" xfId="0" applyNumberFormat="1"/>
    <xf numFmtId="0" fontId="0" fillId="0" borderId="0" xfId="0" applyFont="1" applyAlignment="1">
      <alignment horizontal="left" indent="1"/>
    </xf>
    <xf numFmtId="164" fontId="0" fillId="0" borderId="0" xfId="0" applyNumberFormat="1" applyFont="1"/>
    <xf numFmtId="164" fontId="2" fillId="2" borderId="0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164" fontId="0" fillId="4" borderId="0" xfId="0" applyNumberFormat="1" applyFill="1"/>
    <xf numFmtId="0" fontId="0" fillId="4" borderId="0" xfId="0" applyFill="1"/>
    <xf numFmtId="3" fontId="4" fillId="0" borderId="0" xfId="0" applyNumberFormat="1" applyFont="1" applyFill="1"/>
    <xf numFmtId="164" fontId="0" fillId="4" borderId="0" xfId="0" applyNumberFormat="1" applyFont="1" applyFill="1"/>
    <xf numFmtId="0" fontId="2" fillId="6" borderId="0" xfId="0" applyFont="1" applyFill="1" applyAlignment="1">
      <alignment horizontal="left" indent="1"/>
    </xf>
    <xf numFmtId="164" fontId="2" fillId="6" borderId="0" xfId="0" applyNumberFormat="1" applyFont="1" applyFill="1"/>
    <xf numFmtId="164" fontId="0" fillId="6" borderId="0" xfId="0" applyNumberFormat="1" applyFont="1" applyFill="1"/>
    <xf numFmtId="164" fontId="9" fillId="4" borderId="0" xfId="0" applyNumberFormat="1" applyFont="1" applyFill="1"/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7" borderId="0" xfId="0" applyNumberFormat="1" applyFont="1" applyFill="1"/>
    <xf numFmtId="0" fontId="0" fillId="0" borderId="0" xfId="0" applyFill="1" applyAlignment="1">
      <alignment horizontal="left" indent="2"/>
    </xf>
    <xf numFmtId="164" fontId="0" fillId="0" borderId="0" xfId="0" applyNumberFormat="1" applyFont="1" applyFill="1"/>
    <xf numFmtId="0" fontId="0" fillId="0" borderId="8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right" indent="2"/>
    </xf>
    <xf numFmtId="164" fontId="9" fillId="0" borderId="0" xfId="0" applyNumberFormat="1" applyFont="1" applyFill="1"/>
    <xf numFmtId="0" fontId="2" fillId="7" borderId="0" xfId="0" applyFont="1" applyFill="1" applyAlignment="1">
      <alignment horizontal="left" indent="1"/>
    </xf>
    <xf numFmtId="164" fontId="2" fillId="7" borderId="0" xfId="0" applyNumberFormat="1" applyFont="1" applyFill="1"/>
    <xf numFmtId="164" fontId="2" fillId="0" borderId="0" xfId="0" applyNumberFormat="1" applyFont="1" applyFill="1"/>
    <xf numFmtId="164" fontId="2" fillId="6" borderId="1" xfId="0" applyNumberFormat="1" applyFont="1" applyFill="1" applyBorder="1"/>
    <xf numFmtId="164" fontId="0" fillId="6" borderId="1" xfId="0" applyNumberFormat="1" applyFont="1" applyFill="1" applyBorder="1"/>
    <xf numFmtId="164" fontId="2" fillId="7" borderId="1" xfId="0" applyNumberFormat="1" applyFont="1" applyFill="1" applyBorder="1"/>
    <xf numFmtId="164" fontId="0" fillId="7" borderId="1" xfId="0" applyNumberFormat="1" applyFont="1" applyFill="1" applyBorder="1"/>
    <xf numFmtId="164" fontId="8" fillId="0" borderId="1" xfId="0" applyNumberFormat="1" applyFont="1" applyFill="1" applyBorder="1"/>
    <xf numFmtId="0" fontId="0" fillId="0" borderId="0" xfId="0"/>
    <xf numFmtId="3" fontId="0" fillId="0" borderId="0" xfId="0" applyNumberFormat="1"/>
    <xf numFmtId="164" fontId="2" fillId="8" borderId="0" xfId="0" applyNumberFormat="1" applyFont="1" applyFill="1" applyBorder="1"/>
    <xf numFmtId="0" fontId="2" fillId="8" borderId="0" xfId="0" applyFont="1" applyFill="1" applyAlignment="1">
      <alignment horizontal="left" indent="1"/>
    </xf>
    <xf numFmtId="164" fontId="2" fillId="8" borderId="0" xfId="0" applyNumberFormat="1" applyFont="1" applyFill="1"/>
    <xf numFmtId="164" fontId="0" fillId="8" borderId="0" xfId="0" applyNumberFormat="1" applyFont="1" applyFill="1"/>
    <xf numFmtId="0" fontId="0" fillId="8" borderId="0" xfId="0" applyFont="1" applyFill="1"/>
    <xf numFmtId="0" fontId="2" fillId="0" borderId="0" xfId="0" applyFont="1" applyFill="1" applyAlignment="1">
      <alignment horizontal="left" indent="1"/>
    </xf>
    <xf numFmtId="0" fontId="0" fillId="0" borderId="0" xfId="0" applyFont="1" applyFill="1"/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indent="2"/>
    </xf>
    <xf numFmtId="0" fontId="0" fillId="6" borderId="0" xfId="0" applyFill="1"/>
    <xf numFmtId="0" fontId="0" fillId="6" borderId="0" xfId="0" applyFont="1" applyFill="1"/>
    <xf numFmtId="0" fontId="0" fillId="6" borderId="0" xfId="0" applyFont="1" applyFill="1" applyAlignment="1">
      <alignment horizontal="left"/>
    </xf>
    <xf numFmtId="164" fontId="0" fillId="6" borderId="1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2" fillId="9" borderId="2" xfId="0" applyNumberFormat="1" applyFont="1" applyFill="1" applyBorder="1"/>
    <xf numFmtId="164" fontId="0" fillId="9" borderId="2" xfId="0" applyNumberFormat="1" applyFont="1" applyFill="1" applyBorder="1"/>
    <xf numFmtId="164" fontId="0" fillId="9" borderId="2" xfId="0" applyNumberFormat="1" applyFont="1" applyFill="1" applyBorder="1" applyAlignment="1">
      <alignment horizontal="left"/>
    </xf>
    <xf numFmtId="164" fontId="2" fillId="9" borderId="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4" fillId="0" borderId="0" xfId="0" applyNumberFormat="1" applyFont="1" applyFill="1" applyAlignment="1" applyProtection="1"/>
    <xf numFmtId="3" fontId="4" fillId="0" borderId="0" xfId="0" applyNumberFormat="1" applyFont="1" applyFill="1" applyAlignment="1"/>
    <xf numFmtId="164" fontId="2" fillId="10" borderId="0" xfId="0" applyNumberFormat="1" applyFont="1" applyFill="1"/>
    <xf numFmtId="164" fontId="0" fillId="10" borderId="0" xfId="0" applyNumberFormat="1" applyFill="1"/>
    <xf numFmtId="164" fontId="0" fillId="10" borderId="0" xfId="0" applyNumberFormat="1" applyFont="1" applyFill="1"/>
    <xf numFmtId="3" fontId="3" fillId="10" borderId="4" xfId="0" applyNumberFormat="1" applyFont="1" applyFill="1" applyBorder="1"/>
    <xf numFmtId="3" fontId="4" fillId="10" borderId="4" xfId="0" applyNumberFormat="1" applyFont="1" applyFill="1" applyBorder="1" applyAlignment="1" applyProtection="1">
      <alignment horizontal="left" indent="1"/>
    </xf>
    <xf numFmtId="3" fontId="3" fillId="10" borderId="4" xfId="0" applyNumberFormat="1" applyFont="1" applyFill="1" applyBorder="1" applyAlignment="1" applyProtection="1"/>
    <xf numFmtId="0" fontId="0" fillId="0" borderId="0" xfId="0" applyFont="1" applyAlignment="1">
      <alignment wrapText="1"/>
    </xf>
    <xf numFmtId="0" fontId="10" fillId="0" borderId="0" xfId="0" applyFont="1"/>
    <xf numFmtId="3" fontId="3" fillId="0" borderId="3" xfId="0" applyNumberFormat="1" applyFont="1" applyFill="1" applyBorder="1" applyAlignment="1">
      <alignment horizontal="center"/>
    </xf>
    <xf numFmtId="3" fontId="2" fillId="0" borderId="9" xfId="0" applyNumberFormat="1" applyFont="1" applyBorder="1"/>
    <xf numFmtId="3" fontId="0" fillId="0" borderId="9" xfId="0" applyNumberFormat="1" applyBorder="1"/>
    <xf numFmtId="0" fontId="11" fillId="0" borderId="0" xfId="0" applyFont="1"/>
    <xf numFmtId="3" fontId="12" fillId="0" borderId="0" xfId="0" applyNumberFormat="1" applyFont="1" applyFill="1"/>
    <xf numFmtId="3" fontId="13" fillId="0" borderId="0" xfId="0" applyNumberFormat="1" applyFont="1" applyFill="1" applyProtection="1"/>
    <xf numFmtId="3" fontId="13" fillId="10" borderId="4" xfId="0" applyNumberFormat="1" applyFont="1" applyFill="1" applyBorder="1" applyAlignment="1" applyProtection="1">
      <alignment horizontal="left" indent="1"/>
    </xf>
    <xf numFmtId="3" fontId="13" fillId="0" borderId="0" xfId="0" applyNumberFormat="1" applyFont="1" applyFill="1" applyAlignment="1" applyProtection="1">
      <alignment horizontal="left" indent="1"/>
    </xf>
    <xf numFmtId="3" fontId="14" fillId="10" borderId="4" xfId="0" applyNumberFormat="1" applyFont="1" applyFill="1" applyBorder="1" applyAlignment="1" applyProtection="1"/>
    <xf numFmtId="3" fontId="13" fillId="0" borderId="0" xfId="0" applyNumberFormat="1" applyFont="1" applyFill="1" applyAlignment="1" applyProtection="1"/>
    <xf numFmtId="3" fontId="13" fillId="0" borderId="0" xfId="0" applyNumberFormat="1" applyFont="1" applyFill="1" applyAlignment="1"/>
    <xf numFmtId="3" fontId="13" fillId="0" borderId="0" xfId="0" applyNumberFormat="1" applyFont="1" applyFill="1"/>
    <xf numFmtId="3" fontId="14" fillId="10" borderId="4" xfId="0" applyNumberFormat="1" applyFont="1" applyFill="1" applyBorder="1"/>
    <xf numFmtId="3" fontId="9" fillId="0" borderId="9" xfId="0" applyNumberFormat="1" applyFont="1" applyBorder="1"/>
    <xf numFmtId="3" fontId="8" fillId="0" borderId="9" xfId="0" applyNumberFormat="1" applyFont="1" applyBorder="1"/>
    <xf numFmtId="3" fontId="14" fillId="0" borderId="0" xfId="0" applyNumberFormat="1" applyFont="1" applyFill="1" applyAlignment="1" applyProtection="1"/>
    <xf numFmtId="3" fontId="0" fillId="10" borderId="0" xfId="0" applyNumberFormat="1" applyFill="1"/>
    <xf numFmtId="0" fontId="0" fillId="10" borderId="0" xfId="0" applyFill="1"/>
    <xf numFmtId="3" fontId="4" fillId="4" borderId="0" xfId="0" applyNumberFormat="1" applyFont="1" applyFill="1" applyAlignment="1"/>
    <xf numFmtId="3" fontId="0" fillId="4" borderId="0" xfId="0" applyNumberFormat="1" applyFill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2" fillId="2" borderId="9" xfId="5" applyNumberFormat="1" applyFont="1" applyFill="1" applyBorder="1" applyAlignment="1">
      <alignment horizontal="center" vertical="center" wrapText="1"/>
    </xf>
    <xf numFmtId="9" fontId="2" fillId="11" borderId="9" xfId="5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0" fontId="2" fillId="2" borderId="9" xfId="5" applyNumberFormat="1" applyFont="1" applyFill="1" applyBorder="1" applyAlignment="1">
      <alignment horizontal="right" vertical="center"/>
    </xf>
    <xf numFmtId="10" fontId="2" fillId="2" borderId="9" xfId="5" applyNumberFormat="1" applyFont="1" applyFill="1" applyBorder="1" applyAlignment="1">
      <alignment vertical="center"/>
    </xf>
    <xf numFmtId="167" fontId="2" fillId="11" borderId="9" xfId="5" applyNumberFormat="1" applyFont="1" applyFill="1" applyBorder="1" applyAlignment="1">
      <alignment vertical="center"/>
    </xf>
    <xf numFmtId="167" fontId="2" fillId="4" borderId="10" xfId="6" applyNumberFormat="1" applyFont="1" applyFill="1" applyBorder="1" applyAlignment="1">
      <alignment horizontal="center" vertical="center" wrapText="1"/>
    </xf>
    <xf numFmtId="167" fontId="2" fillId="2" borderId="11" xfId="6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/>
    <xf numFmtId="167" fontId="2" fillId="0" borderId="9" xfId="0" applyNumberFormat="1" applyFont="1" applyBorder="1"/>
    <xf numFmtId="167" fontId="2" fillId="2" borderId="9" xfId="6" applyNumberFormat="1" applyFont="1" applyFill="1" applyBorder="1" applyAlignment="1">
      <alignment horizontal="center"/>
    </xf>
    <xf numFmtId="167" fontId="2" fillId="2" borderId="9" xfId="6" applyNumberFormat="1" applyFont="1" applyFill="1" applyBorder="1" applyAlignment="1">
      <alignment horizontal="right"/>
    </xf>
    <xf numFmtId="167" fontId="2" fillId="2" borderId="9" xfId="6" applyNumberFormat="1" applyFont="1" applyFill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/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/>
    <xf numFmtId="167" fontId="5" fillId="2" borderId="9" xfId="6" applyNumberFormat="1" applyFont="1" applyFill="1" applyBorder="1" applyAlignment="1">
      <alignment horizontal="center"/>
    </xf>
    <xf numFmtId="164" fontId="2" fillId="0" borderId="9" xfId="0" applyNumberFormat="1" applyFont="1" applyBorder="1" applyAlignment="1"/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/>
    <xf numFmtId="167" fontId="9" fillId="2" borderId="9" xfId="0" applyNumberFormat="1" applyFont="1" applyFill="1" applyBorder="1"/>
    <xf numFmtId="164" fontId="0" fillId="0" borderId="9" xfId="0" applyNumberFormat="1" applyBorder="1" applyAlignment="1"/>
    <xf numFmtId="167" fontId="2" fillId="2" borderId="9" xfId="5" applyNumberFormat="1" applyFont="1" applyFill="1" applyBorder="1" applyAlignment="1">
      <alignment horizontal="center" vertical="center"/>
    </xf>
    <xf numFmtId="167" fontId="9" fillId="2" borderId="9" xfId="6" applyNumberFormat="1" applyFont="1" applyFill="1" applyBorder="1" applyAlignment="1">
      <alignment horizontal="center"/>
    </xf>
    <xf numFmtId="167" fontId="0" fillId="0" borderId="0" xfId="0" applyNumberFormat="1"/>
    <xf numFmtId="167" fontId="2" fillId="2" borderId="12" xfId="6" applyNumberFormat="1" applyFont="1" applyFill="1" applyBorder="1"/>
    <xf numFmtId="167" fontId="2" fillId="2" borderId="12" xfId="6" applyNumberFormat="1" applyFont="1" applyFill="1" applyBorder="1" applyAlignment="1">
      <alignment horizontal="center"/>
    </xf>
    <xf numFmtId="167" fontId="9" fillId="2" borderId="9" xfId="6" applyNumberFormat="1" applyFont="1" applyFill="1" applyBorder="1"/>
    <xf numFmtId="167" fontId="9" fillId="2" borderId="9" xfId="6" applyNumberFormat="1" applyFont="1" applyFill="1" applyBorder="1" applyAlignment="1">
      <alignment horizontal="right"/>
    </xf>
    <xf numFmtId="167" fontId="9" fillId="2" borderId="9" xfId="5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167" fontId="2" fillId="11" borderId="9" xfId="6" applyNumberFormat="1" applyFont="1" applyFill="1" applyBorder="1" applyAlignment="1">
      <alignment horizontal="center" vertical="center"/>
    </xf>
    <xf numFmtId="167" fontId="2" fillId="11" borderId="9" xfId="6" applyNumberFormat="1" applyFont="1" applyFill="1" applyBorder="1" applyAlignment="1">
      <alignment horizontal="center"/>
    </xf>
    <xf numFmtId="167" fontId="9" fillId="11" borderId="9" xfId="6" applyNumberFormat="1" applyFont="1" applyFill="1" applyBorder="1" applyAlignment="1">
      <alignment horizontal="center" vertical="center"/>
    </xf>
    <xf numFmtId="0" fontId="0" fillId="0" borderId="0" xfId="0" applyBorder="1"/>
    <xf numFmtId="167" fontId="2" fillId="0" borderId="11" xfId="6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/>
    <xf numFmtId="167" fontId="15" fillId="2" borderId="9" xfId="6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/>
    <xf numFmtId="167" fontId="17" fillId="2" borderId="9" xfId="6" applyNumberFormat="1" applyFont="1" applyFill="1" applyBorder="1" applyAlignment="1">
      <alignment horizontal="center"/>
    </xf>
    <xf numFmtId="167" fontId="16" fillId="2" borderId="9" xfId="6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167" fontId="16" fillId="2" borderId="9" xfId="6" applyNumberFormat="1" applyFont="1" applyFill="1" applyBorder="1" applyAlignment="1">
      <alignment horizontal="right"/>
    </xf>
    <xf numFmtId="167" fontId="16" fillId="2" borderId="12" xfId="6" applyNumberFormat="1" applyFont="1" applyFill="1" applyBorder="1" applyAlignment="1">
      <alignment horizontal="right"/>
    </xf>
    <xf numFmtId="167" fontId="17" fillId="2" borderId="9" xfId="6" applyNumberFormat="1" applyFont="1" applyFill="1" applyBorder="1" applyAlignment="1">
      <alignment horizontal="right"/>
    </xf>
    <xf numFmtId="167" fontId="15" fillId="11" borderId="9" xfId="6" applyNumberFormat="1" applyFont="1" applyFill="1" applyBorder="1" applyAlignment="1">
      <alignment horizontal="center" vertical="center"/>
    </xf>
    <xf numFmtId="167" fontId="17" fillId="11" borderId="9" xfId="6" applyNumberFormat="1" applyFont="1" applyFill="1" applyBorder="1" applyAlignment="1">
      <alignment horizontal="center" vertical="center"/>
    </xf>
    <xf numFmtId="167" fontId="15" fillId="2" borderId="9" xfId="5" applyNumberFormat="1" applyFont="1" applyFill="1" applyBorder="1" applyAlignment="1">
      <alignment horizontal="center"/>
    </xf>
    <xf numFmtId="167" fontId="15" fillId="2" borderId="12" xfId="5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164" fontId="18" fillId="0" borderId="9" xfId="0" applyNumberFormat="1" applyFont="1" applyBorder="1" applyAlignment="1"/>
    <xf numFmtId="167" fontId="20" fillId="2" borderId="9" xfId="6" applyNumberFormat="1" applyFont="1" applyFill="1" applyBorder="1" applyAlignment="1">
      <alignment horizontal="center"/>
    </xf>
    <xf numFmtId="167" fontId="5" fillId="2" borderId="9" xfId="6" applyNumberFormat="1" applyFont="1" applyFill="1" applyBorder="1"/>
    <xf numFmtId="167" fontId="5" fillId="11" borderId="9" xfId="6" applyNumberFormat="1" applyFont="1" applyFill="1" applyBorder="1" applyAlignment="1">
      <alignment horizontal="center" vertical="center"/>
    </xf>
    <xf numFmtId="167" fontId="16" fillId="11" borderId="9" xfId="6" applyNumberFormat="1" applyFont="1" applyFill="1" applyBorder="1" applyAlignment="1">
      <alignment horizontal="center" vertical="center"/>
    </xf>
    <xf numFmtId="167" fontId="5" fillId="2" borderId="12" xfId="6" applyNumberFormat="1" applyFont="1" applyFill="1" applyBorder="1" applyAlignment="1">
      <alignment horizontal="center"/>
    </xf>
    <xf numFmtId="167" fontId="16" fillId="2" borderId="12" xfId="6" applyNumberFormat="1" applyFont="1" applyFill="1" applyBorder="1" applyAlignment="1">
      <alignment horizontal="center"/>
    </xf>
    <xf numFmtId="164" fontId="0" fillId="0" borderId="9" xfId="0" applyNumberFormat="1" applyBorder="1" applyAlignment="1">
      <alignment horizontal="left" indent="1"/>
    </xf>
    <xf numFmtId="3" fontId="0" fillId="0" borderId="0" xfId="0" applyNumberFormat="1" applyBorder="1"/>
    <xf numFmtId="167" fontId="5" fillId="2" borderId="12" xfId="6" applyNumberFormat="1" applyFont="1" applyFill="1" applyBorder="1"/>
    <xf numFmtId="167" fontId="13" fillId="2" borderId="9" xfId="6" applyNumberFormat="1" applyFont="1" applyFill="1" applyBorder="1" applyAlignment="1">
      <alignment horizontal="center"/>
    </xf>
    <xf numFmtId="167" fontId="2" fillId="4" borderId="13" xfId="6" applyNumberFormat="1" applyFont="1" applyFill="1" applyBorder="1" applyAlignment="1">
      <alignment horizontal="center" vertical="center" wrapText="1"/>
    </xf>
    <xf numFmtId="167" fontId="2" fillId="0" borderId="14" xfId="6" applyNumberFormat="1" applyFont="1" applyFill="1" applyBorder="1" applyAlignment="1">
      <alignment horizontal="center" vertical="center" wrapText="1"/>
    </xf>
    <xf numFmtId="167" fontId="2" fillId="2" borderId="14" xfId="6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7" fontId="19" fillId="2" borderId="14" xfId="6" applyNumberFormat="1" applyFont="1" applyFill="1" applyBorder="1" applyAlignment="1">
      <alignment horizontal="right" vertical="center"/>
    </xf>
    <xf numFmtId="10" fontId="14" fillId="2" borderId="9" xfId="5" applyNumberFormat="1" applyFont="1" applyFill="1" applyBorder="1" applyAlignment="1">
      <alignment horizontal="center" vertical="center" wrapText="1"/>
    </xf>
    <xf numFmtId="167" fontId="2" fillId="0" borderId="0" xfId="6" applyNumberFormat="1" applyFont="1" applyFill="1" applyBorder="1" applyAlignment="1">
      <alignment horizontal="center" vertical="center"/>
    </xf>
    <xf numFmtId="37" fontId="9" fillId="2" borderId="9" xfId="6" applyNumberFormat="1" applyFont="1" applyFill="1" applyBorder="1" applyAlignment="1">
      <alignment horizontal="right"/>
    </xf>
    <xf numFmtId="0" fontId="2" fillId="12" borderId="9" xfId="0" applyFont="1" applyFill="1" applyBorder="1" applyAlignment="1">
      <alignment horizontal="center" vertical="center" wrapText="1"/>
    </xf>
    <xf numFmtId="9" fontId="0" fillId="12" borderId="5" xfId="5" applyNumberFormat="1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vertical="center"/>
    </xf>
    <xf numFmtId="167" fontId="2" fillId="12" borderId="6" xfId="0" applyNumberFormat="1" applyFont="1" applyFill="1" applyBorder="1" applyAlignment="1">
      <alignment horizontal="center"/>
    </xf>
    <xf numFmtId="167" fontId="2" fillId="12" borderId="7" xfId="0" applyNumberFormat="1" applyFont="1" applyFill="1" applyBorder="1" applyAlignment="1">
      <alignment horizontal="center"/>
    </xf>
    <xf numFmtId="167" fontId="0" fillId="2" borderId="9" xfId="5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left" indent="1"/>
    </xf>
    <xf numFmtId="164" fontId="0" fillId="4" borderId="9" xfId="0" applyNumberFormat="1" applyFill="1" applyBorder="1" applyAlignment="1"/>
  </cellXfs>
  <cellStyles count="7">
    <cellStyle name="Comma 2" xfId="2" xr:uid="{00000000-0005-0000-0000-000000000000}"/>
    <cellStyle name="Comma 2 2" xfId="4" xr:uid="{00000000-0005-0000-0000-000001000000}"/>
    <cellStyle name="Currency" xfId="6" builtinId="4"/>
    <cellStyle name="Normal" xfId="0" builtinId="0"/>
    <cellStyle name="Normal 2" xfId="1" xr:uid="{00000000-0005-0000-0000-000004000000}"/>
    <cellStyle name="Percent" xfId="5" builtinId="5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A11" sqref="A11"/>
    </sheetView>
  </sheetViews>
  <sheetFormatPr defaultRowHeight="15"/>
  <cols>
    <col min="1" max="1" width="52" bestFit="1" customWidth="1"/>
  </cols>
  <sheetData>
    <row r="1" spans="1:1">
      <c r="A1" s="38" t="s">
        <v>124</v>
      </c>
    </row>
    <row r="2" spans="1:1" ht="60">
      <c r="A2" s="102" t="s">
        <v>125</v>
      </c>
    </row>
    <row r="3" spans="1:1">
      <c r="A3" s="38"/>
    </row>
  </sheetData>
  <pageMargins left="0.7" right="0.7" top="0.75" bottom="0.75" header="0.3" footer="0.3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2"/>
  <sheetViews>
    <sheetView workbookViewId="0">
      <pane xSplit="1" topLeftCell="N1" activePane="topRight" state="frozen"/>
      <selection pane="topRight" activeCell="T37" sqref="T37"/>
    </sheetView>
  </sheetViews>
  <sheetFormatPr defaultColWidth="21" defaultRowHeight="15"/>
  <cols>
    <col min="1" max="1" width="62.140625" customWidth="1"/>
    <col min="2" max="2" width="20.85546875" customWidth="1"/>
    <col min="3" max="3" width="19.140625" customWidth="1"/>
    <col min="4" max="4" width="19.85546875" customWidth="1"/>
    <col min="5" max="5" width="15.140625" customWidth="1"/>
    <col min="6" max="6" width="18.85546875" style="9" customWidth="1"/>
    <col min="7" max="7" width="22.42578125" style="9" customWidth="1"/>
    <col min="8" max="8" width="18.5703125" customWidth="1"/>
    <col min="9" max="9" width="20.140625" style="15" customWidth="1"/>
    <col min="10" max="10" width="23.85546875" style="15" customWidth="1"/>
    <col min="11" max="11" width="24.140625" customWidth="1"/>
    <col min="12" max="12" width="22" customWidth="1"/>
    <col min="13" max="13" width="20.140625" customWidth="1"/>
    <col min="14" max="14" width="21.5703125" customWidth="1"/>
    <col min="15" max="15" width="19.42578125" customWidth="1"/>
    <col min="16" max="16" width="20.140625" customWidth="1"/>
    <col min="17" max="17" width="16.140625" customWidth="1"/>
    <col min="18" max="18" width="15.140625" customWidth="1"/>
    <col min="19" max="19" width="19.42578125" customWidth="1"/>
    <col min="20" max="22" width="16.85546875" customWidth="1"/>
    <col min="23" max="23" width="5.140625" customWidth="1"/>
  </cols>
  <sheetData>
    <row r="1" spans="1:22" ht="24.75" customHeight="1">
      <c r="A1" s="6"/>
      <c r="B1" s="3" t="s">
        <v>29</v>
      </c>
      <c r="C1" s="3" t="s">
        <v>32</v>
      </c>
      <c r="D1" s="3" t="s">
        <v>33</v>
      </c>
      <c r="E1" s="3">
        <v>2016</v>
      </c>
      <c r="F1" s="12" t="s">
        <v>31</v>
      </c>
      <c r="G1" s="12" t="s">
        <v>33</v>
      </c>
      <c r="H1" s="3">
        <v>2017</v>
      </c>
      <c r="I1" s="14" t="s">
        <v>31</v>
      </c>
      <c r="J1" s="45" t="s">
        <v>33</v>
      </c>
      <c r="K1" s="3">
        <v>2018</v>
      </c>
      <c r="L1" s="11" t="s">
        <v>31</v>
      </c>
      <c r="M1" s="45" t="s">
        <v>33</v>
      </c>
      <c r="N1" s="3">
        <v>2019</v>
      </c>
      <c r="O1" s="11" t="s">
        <v>31</v>
      </c>
      <c r="P1" s="45" t="s">
        <v>33</v>
      </c>
      <c r="Q1" s="3">
        <v>2020</v>
      </c>
      <c r="R1" s="11" t="s">
        <v>31</v>
      </c>
      <c r="S1" s="45" t="s">
        <v>33</v>
      </c>
      <c r="T1" s="3">
        <v>2021</v>
      </c>
      <c r="U1" s="11" t="s">
        <v>31</v>
      </c>
      <c r="V1" s="11" t="s">
        <v>34</v>
      </c>
    </row>
    <row r="2" spans="1:22" s="54" customFormat="1">
      <c r="A2" s="74" t="s">
        <v>112</v>
      </c>
      <c r="B2" s="74"/>
      <c r="C2" s="74"/>
      <c r="D2" s="74"/>
      <c r="E2" s="74">
        <f>E3+E8+E9+E10+E11+E19+E24+E25+E26+E29+E33+E34+E41+E48+E49</f>
        <v>8671059000</v>
      </c>
      <c r="F2" s="74"/>
      <c r="G2" s="74">
        <f>G3+G8+G9+G10+G11+G19+G24+G25+G26+G29+G33+G34+G41+G48+G49</f>
        <v>6206686850</v>
      </c>
      <c r="H2" s="74">
        <f>H3+H8+H9+H10+H11+H19+H24+H25+H26+H29+H33+H34+H41+H48+H49</f>
        <v>8717302000</v>
      </c>
      <c r="I2" s="74"/>
      <c r="J2" s="74">
        <f>J3+J8+J9+J10+J11+J19+J24+J25+J26+J29+J33+J34+J41+J48+J49</f>
        <v>6217165645</v>
      </c>
      <c r="K2" s="74">
        <f>K3+K8+K9+K10+K11+K19+K24+K25+K26+K29+K33+K34+K41+K48+K49</f>
        <v>8898242000</v>
      </c>
      <c r="L2" s="74"/>
      <c r="M2" s="74">
        <f>M3+M8+M9+M10+M11+M19+M24+M25+M26+M29+M33+M34+M41+M48+M49</f>
        <v>6352473498.5</v>
      </c>
      <c r="N2" s="74">
        <f>N3+N8+N9+N10+N11+N19+N24+N25+N26+N29+N33+N34+N41+N48+N49</f>
        <v>9084126000</v>
      </c>
      <c r="O2" s="74"/>
      <c r="P2" s="74">
        <f>P3+P8+P9+P10+P11+P19+P24+P25+P26+P29+P33+P34+P41+P48+P49</f>
        <v>6484465634.5</v>
      </c>
      <c r="Q2" s="74">
        <f>Q3+Q8+Q9+Q10+Q11+Q19+Q24+Q25+Q26+Q29+Q33+Q34+Q41+Q48+Q49</f>
        <v>9273202000</v>
      </c>
      <c r="R2" s="74"/>
      <c r="S2" s="74"/>
      <c r="T2" s="74">
        <f>T3+T8+T9+T10+T11+T19+T24+T25+T26+T29+T33+T34+T41+T48+T49</f>
        <v>9462506000</v>
      </c>
      <c r="U2" s="74"/>
      <c r="V2" s="74"/>
    </row>
    <row r="3" spans="1:22" s="55" customFormat="1">
      <c r="A3" s="50" t="s">
        <v>16</v>
      </c>
      <c r="B3" s="51">
        <f>SUM(B4:B5)</f>
        <v>427800000</v>
      </c>
      <c r="C3" s="52">
        <v>0</v>
      </c>
      <c r="D3" s="52">
        <v>0</v>
      </c>
      <c r="E3" s="51">
        <v>430000000</v>
      </c>
      <c r="F3" s="52">
        <f>E3*0.0075</f>
        <v>3225000</v>
      </c>
      <c r="G3" s="52">
        <f>E3-F3</f>
        <v>426775000</v>
      </c>
      <c r="H3" s="51">
        <v>431850000</v>
      </c>
      <c r="I3" s="52">
        <f>H3*0.0075</f>
        <v>3238875</v>
      </c>
      <c r="J3" s="52">
        <f>H3-I3</f>
        <v>428611125</v>
      </c>
      <c r="K3" s="51">
        <v>445120000</v>
      </c>
      <c r="L3" s="52">
        <f>K3*0.0075</f>
        <v>3338400</v>
      </c>
      <c r="M3" s="52">
        <f>K3-L3</f>
        <v>441781600</v>
      </c>
      <c r="N3" s="51">
        <v>458459000</v>
      </c>
      <c r="O3" s="52">
        <f>N3*0.0075</f>
        <v>3438442.5</v>
      </c>
      <c r="P3" s="52">
        <f>N3-O3</f>
        <v>455020557.5</v>
      </c>
      <c r="Q3" s="51">
        <v>472326000</v>
      </c>
      <c r="R3" s="52">
        <f>Q3*0.0075</f>
        <v>3542445</v>
      </c>
      <c r="S3" s="52">
        <f>Q3-R3</f>
        <v>468783555</v>
      </c>
      <c r="T3" s="51">
        <v>486210000</v>
      </c>
      <c r="U3" s="52">
        <f>T3*0.0075</f>
        <v>3646575</v>
      </c>
      <c r="V3" s="52">
        <f>T3-U3</f>
        <v>482563425</v>
      </c>
    </row>
    <row r="4" spans="1:22" s="18" customFormat="1">
      <c r="A4" s="16" t="s">
        <v>28</v>
      </c>
      <c r="B4" s="17">
        <v>362300000</v>
      </c>
      <c r="C4" s="29">
        <v>0</v>
      </c>
      <c r="D4" s="98">
        <f>B4</f>
        <v>362300000</v>
      </c>
      <c r="E4" s="17">
        <f>E3-E5-E7</f>
        <v>364500000</v>
      </c>
      <c r="F4" s="49">
        <f>F3</f>
        <v>3225000</v>
      </c>
      <c r="G4" s="98">
        <f>E4-F4</f>
        <v>361275000</v>
      </c>
      <c r="H4" s="46">
        <f>H3-H5-H7</f>
        <v>366350000</v>
      </c>
      <c r="I4" s="49">
        <f>I3</f>
        <v>3238875</v>
      </c>
      <c r="J4" s="98">
        <f>H4-I4</f>
        <v>363111125</v>
      </c>
      <c r="K4" s="46">
        <f>K3-K5-K7</f>
        <v>379620000</v>
      </c>
      <c r="L4" s="49">
        <f>L3</f>
        <v>3338400</v>
      </c>
      <c r="M4" s="98">
        <f>K4-L4</f>
        <v>376281600</v>
      </c>
      <c r="N4" s="46">
        <f>N3-N5-N7</f>
        <v>392959000</v>
      </c>
      <c r="O4" s="49">
        <f>O3</f>
        <v>3438442.5</v>
      </c>
      <c r="P4" s="98">
        <f>N4-O4</f>
        <v>389520557.5</v>
      </c>
      <c r="Q4" s="46">
        <f>Q3-Q5-Q7</f>
        <v>406826000</v>
      </c>
      <c r="R4" s="49">
        <f>R3</f>
        <v>3542445</v>
      </c>
      <c r="S4" s="98">
        <f>Q4-R4</f>
        <v>403283555</v>
      </c>
      <c r="T4" s="46">
        <f>T3-T5-T7</f>
        <v>420710000</v>
      </c>
      <c r="U4" s="49">
        <f>U3</f>
        <v>3646575</v>
      </c>
      <c r="V4" s="98">
        <f>T4-U4</f>
        <v>417063425</v>
      </c>
    </row>
    <row r="5" spans="1:22" s="18" customFormat="1">
      <c r="A5" s="16" t="s">
        <v>27</v>
      </c>
      <c r="B5" s="17">
        <v>65500000</v>
      </c>
      <c r="C5" s="29">
        <v>0</v>
      </c>
      <c r="D5" s="29">
        <f>B5</f>
        <v>65500000</v>
      </c>
      <c r="E5" s="17">
        <v>65500000</v>
      </c>
      <c r="F5" s="49">
        <v>0</v>
      </c>
      <c r="G5" s="49">
        <v>65500000</v>
      </c>
      <c r="H5" s="17">
        <v>65500000</v>
      </c>
      <c r="I5" s="49">
        <v>0</v>
      </c>
      <c r="J5" s="49">
        <f>H5</f>
        <v>65500000</v>
      </c>
      <c r="K5" s="17">
        <v>65500000</v>
      </c>
      <c r="L5" s="49">
        <v>0</v>
      </c>
      <c r="M5" s="49">
        <f>K5</f>
        <v>65500000</v>
      </c>
      <c r="N5" s="17">
        <v>65500000</v>
      </c>
      <c r="O5" s="49">
        <v>0</v>
      </c>
      <c r="P5" s="49">
        <f>N5</f>
        <v>65500000</v>
      </c>
      <c r="Q5" s="17">
        <v>65500000</v>
      </c>
      <c r="R5" s="49">
        <v>0</v>
      </c>
      <c r="S5" s="49">
        <f>Q5</f>
        <v>65500000</v>
      </c>
      <c r="T5" s="17">
        <v>65500000</v>
      </c>
      <c r="U5" s="49">
        <v>0</v>
      </c>
      <c r="V5" s="49">
        <f>T5</f>
        <v>65500000</v>
      </c>
    </row>
    <row r="6" spans="1:22" s="47" customFormat="1">
      <c r="A6" s="61" t="s">
        <v>104</v>
      </c>
      <c r="B6" s="46"/>
      <c r="C6" s="49"/>
      <c r="D6" s="49"/>
      <c r="E6" s="53"/>
      <c r="F6" s="49"/>
      <c r="G6" s="49"/>
      <c r="H6" s="53"/>
      <c r="I6" s="49"/>
      <c r="J6" s="49"/>
      <c r="K6" s="53"/>
      <c r="L6" s="49"/>
      <c r="M6" s="49"/>
      <c r="N6" s="53"/>
      <c r="O6" s="49"/>
      <c r="P6" s="49"/>
      <c r="Q6" s="53"/>
      <c r="R6" s="49"/>
      <c r="S6" s="49"/>
      <c r="T6" s="53"/>
      <c r="U6" s="49"/>
      <c r="V6" s="49"/>
    </row>
    <row r="7" spans="1:22" s="47" customFormat="1">
      <c r="A7" s="60" t="s">
        <v>105</v>
      </c>
      <c r="B7" s="46"/>
      <c r="C7" s="49"/>
      <c r="D7" s="49"/>
      <c r="E7" s="46"/>
      <c r="F7" s="49"/>
      <c r="G7" s="49"/>
      <c r="H7" s="46"/>
      <c r="I7" s="49"/>
      <c r="J7" s="49"/>
      <c r="K7" s="46"/>
      <c r="L7" s="49"/>
      <c r="M7" s="49"/>
      <c r="N7" s="46"/>
      <c r="O7" s="49"/>
      <c r="P7" s="49"/>
      <c r="Q7" s="46"/>
      <c r="R7" s="49"/>
      <c r="S7" s="49"/>
      <c r="T7" s="46"/>
      <c r="U7" s="49"/>
      <c r="V7" s="49"/>
    </row>
    <row r="8" spans="1:22">
      <c r="A8" s="50" t="s">
        <v>11</v>
      </c>
      <c r="B8" s="51">
        <v>3000000</v>
      </c>
      <c r="C8" s="52"/>
      <c r="D8" s="52">
        <v>0</v>
      </c>
      <c r="E8" s="51">
        <v>3000000</v>
      </c>
      <c r="F8" s="52"/>
      <c r="G8" s="52">
        <v>0</v>
      </c>
      <c r="H8" s="51">
        <v>3000000</v>
      </c>
      <c r="I8" s="52"/>
      <c r="J8" s="52">
        <v>0</v>
      </c>
      <c r="K8" s="51">
        <v>3000000</v>
      </c>
      <c r="L8" s="52"/>
      <c r="M8" s="52">
        <v>0</v>
      </c>
      <c r="N8" s="51">
        <v>3000000</v>
      </c>
      <c r="O8" s="52"/>
      <c r="P8" s="52">
        <v>0</v>
      </c>
      <c r="Q8" s="51">
        <v>3000000</v>
      </c>
      <c r="R8" s="52"/>
      <c r="S8" s="52">
        <v>0</v>
      </c>
      <c r="T8" s="51">
        <v>3000000</v>
      </c>
      <c r="U8" s="52"/>
      <c r="V8" s="52">
        <v>0</v>
      </c>
    </row>
    <row r="9" spans="1:22" s="55" customFormat="1">
      <c r="A9" s="50" t="s">
        <v>7</v>
      </c>
      <c r="B9" s="96">
        <v>258300000</v>
      </c>
      <c r="C9" s="52">
        <f>B9*0.005</f>
        <v>1291500</v>
      </c>
      <c r="D9" s="98">
        <f>B9-C9</f>
        <v>257008500</v>
      </c>
      <c r="E9" s="51">
        <v>262175000</v>
      </c>
      <c r="F9" s="52">
        <f>E9*0.005</f>
        <v>1310875</v>
      </c>
      <c r="G9" s="98">
        <f>E9-F9</f>
        <v>260864125</v>
      </c>
      <c r="H9" s="51">
        <v>266841000</v>
      </c>
      <c r="I9" s="52">
        <f>H9*0.005</f>
        <v>1334205</v>
      </c>
      <c r="J9" s="98">
        <f>H9-I9</f>
        <v>265506795</v>
      </c>
      <c r="K9" s="51">
        <v>272258000</v>
      </c>
      <c r="L9" s="52">
        <f>K9*0.005</f>
        <v>1361290</v>
      </c>
      <c r="M9" s="98">
        <f>K9-L9</f>
        <v>270896710</v>
      </c>
      <c r="N9" s="51">
        <v>277703000</v>
      </c>
      <c r="O9" s="52">
        <f>N9*0.005</f>
        <v>1388515</v>
      </c>
      <c r="P9" s="98">
        <f>N9-O9</f>
        <v>276314485</v>
      </c>
      <c r="Q9" s="51">
        <v>283364000</v>
      </c>
      <c r="R9" s="52">
        <f>Q9*0.005</f>
        <v>1416820</v>
      </c>
      <c r="S9" s="98">
        <f>Q9-R9</f>
        <v>281947180</v>
      </c>
      <c r="T9" s="51">
        <v>289031000</v>
      </c>
      <c r="U9" s="52">
        <f>T9*0.005</f>
        <v>1445155</v>
      </c>
      <c r="V9" s="98">
        <f>T9-U9</f>
        <v>287585845</v>
      </c>
    </row>
    <row r="10" spans="1:22" s="55" customFormat="1">
      <c r="A10" s="50" t="s">
        <v>113</v>
      </c>
      <c r="B10" s="51"/>
      <c r="C10" s="52"/>
      <c r="D10" s="52"/>
      <c r="E10" s="51"/>
      <c r="F10" s="52"/>
      <c r="G10" s="52"/>
      <c r="H10" s="51"/>
      <c r="I10" s="52"/>
      <c r="J10" s="52"/>
      <c r="K10" s="51"/>
      <c r="L10" s="52"/>
      <c r="M10" s="52"/>
      <c r="N10" s="51"/>
      <c r="O10" s="52"/>
      <c r="P10" s="52"/>
      <c r="Q10" s="51"/>
      <c r="R10" s="52"/>
      <c r="S10" s="52"/>
      <c r="T10" s="51"/>
      <c r="U10" s="52"/>
      <c r="V10" s="52"/>
    </row>
    <row r="11" spans="1:22" s="55" customFormat="1">
      <c r="A11" s="50" t="s">
        <v>8</v>
      </c>
      <c r="B11" s="51">
        <v>607800000</v>
      </c>
      <c r="C11" s="52">
        <f>B11*0.005</f>
        <v>3039000</v>
      </c>
      <c r="D11" s="52">
        <f>(B11-C11-B14)-5000000</f>
        <v>597937600</v>
      </c>
      <c r="E11" s="51">
        <v>607800000</v>
      </c>
      <c r="F11" s="52">
        <f>E11*0.005</f>
        <v>3039000</v>
      </c>
      <c r="G11" s="52">
        <f>(E11-F11-E14-E16)</f>
        <v>597937600</v>
      </c>
      <c r="H11" s="51">
        <v>607800000</v>
      </c>
      <c r="I11" s="52">
        <f>H11*0.005</f>
        <v>3039000</v>
      </c>
      <c r="J11" s="52">
        <f>(H11-I11-H14-H16)</f>
        <v>597937600</v>
      </c>
      <c r="K11" s="51">
        <v>620138000</v>
      </c>
      <c r="L11" s="52">
        <f>K11*0.005</f>
        <v>3100690</v>
      </c>
      <c r="M11" s="52">
        <f>(K11-L11-K14-K16)</f>
        <v>610176896</v>
      </c>
      <c r="N11" s="51">
        <v>632541000</v>
      </c>
      <c r="O11" s="52">
        <f>N11*0.005</f>
        <v>3162705</v>
      </c>
      <c r="P11" s="52">
        <f>(N11-O11-N14-N16)</f>
        <v>622480672</v>
      </c>
      <c r="Q11" s="51">
        <v>645434000</v>
      </c>
      <c r="R11" s="52">
        <f>Q11*0.005</f>
        <v>3227170</v>
      </c>
      <c r="S11" s="52">
        <f>(Q11-R11-Q14-Q16)</f>
        <v>635270528</v>
      </c>
      <c r="T11" s="51">
        <v>658343000</v>
      </c>
      <c r="U11" s="52">
        <f>T11*0.005</f>
        <v>3291715</v>
      </c>
      <c r="V11" s="52">
        <f>(T11-U11-T14-T16)</f>
        <v>648076256</v>
      </c>
    </row>
    <row r="12" spans="1:22" s="55" customFormat="1">
      <c r="A12" s="58" t="s">
        <v>10</v>
      </c>
      <c r="B12" s="56">
        <v>20000000</v>
      </c>
      <c r="C12" s="59">
        <v>0</v>
      </c>
      <c r="D12" s="59">
        <v>20000000</v>
      </c>
      <c r="E12" s="56">
        <v>20000000</v>
      </c>
      <c r="F12" s="59">
        <v>0</v>
      </c>
      <c r="G12" s="59">
        <v>20000000</v>
      </c>
      <c r="H12" s="56">
        <v>20000000</v>
      </c>
      <c r="I12" s="59">
        <v>0</v>
      </c>
      <c r="J12" s="59">
        <v>20000000</v>
      </c>
      <c r="K12" s="56">
        <v>20000000</v>
      </c>
      <c r="L12" s="59">
        <v>0</v>
      </c>
      <c r="M12" s="59">
        <v>20000000</v>
      </c>
      <c r="N12" s="56">
        <v>20000000</v>
      </c>
      <c r="O12" s="59">
        <v>0</v>
      </c>
      <c r="P12" s="59">
        <v>20000000</v>
      </c>
      <c r="Q12" s="56">
        <v>20000000</v>
      </c>
      <c r="R12" s="59">
        <v>0</v>
      </c>
      <c r="S12" s="59">
        <v>20000000</v>
      </c>
      <c r="T12" s="56">
        <v>20000000</v>
      </c>
      <c r="U12" s="59">
        <v>0</v>
      </c>
      <c r="V12" s="59">
        <v>20000000</v>
      </c>
    </row>
    <row r="13" spans="1:22" s="55" customFormat="1">
      <c r="A13" s="58" t="s">
        <v>8</v>
      </c>
      <c r="B13" s="56">
        <f>B11-B12-B14-B15-B16-B17</f>
        <v>545644000</v>
      </c>
      <c r="C13" s="59">
        <f>C11</f>
        <v>3039000</v>
      </c>
      <c r="D13" s="59">
        <v>502605000</v>
      </c>
      <c r="E13" s="56">
        <f>E11-E12-E14-E15-E16-E17</f>
        <v>545644000</v>
      </c>
      <c r="F13" s="59">
        <f>F11</f>
        <v>3039000</v>
      </c>
      <c r="G13" s="59">
        <f>E13-F13</f>
        <v>542605000</v>
      </c>
      <c r="H13" s="56">
        <f>H11-H12-H14-H15-H16-H17</f>
        <v>545644000</v>
      </c>
      <c r="I13" s="59">
        <f>I11</f>
        <v>3039000</v>
      </c>
      <c r="J13" s="59">
        <f>H13-I13</f>
        <v>542605000</v>
      </c>
      <c r="K13" s="56">
        <f>K11-K12-K14-K15-K16-K17</f>
        <v>557735240</v>
      </c>
      <c r="L13" s="59">
        <f>L11</f>
        <v>3100690</v>
      </c>
      <c r="M13" s="59">
        <f>K13-L13</f>
        <v>554634550</v>
      </c>
      <c r="N13" s="56">
        <f>N11-N12-N14-N15-N16-N17</f>
        <v>569890180</v>
      </c>
      <c r="O13" s="59">
        <f>O11</f>
        <v>3162705</v>
      </c>
      <c r="P13" s="59">
        <f>N13-O13</f>
        <v>566727475</v>
      </c>
      <c r="Q13" s="56">
        <f>Q11-Q12-Q14-Q15-Q16-Q17</f>
        <v>582525320</v>
      </c>
      <c r="R13" s="59">
        <f>R11</f>
        <v>3227170</v>
      </c>
      <c r="S13" s="59">
        <f>Q13-R13</f>
        <v>579298150</v>
      </c>
      <c r="T13" s="56">
        <f>T11-T12-T14-T15-T16-T17</f>
        <v>595176140</v>
      </c>
      <c r="U13" s="59">
        <f>U11</f>
        <v>3291715</v>
      </c>
      <c r="V13" s="59">
        <f>T13-U13</f>
        <v>591884425</v>
      </c>
    </row>
    <row r="14" spans="1:22" s="55" customFormat="1">
      <c r="A14" s="58" t="s">
        <v>114</v>
      </c>
      <c r="B14" s="56">
        <f>(B11*0.02)*0.15</f>
        <v>1823400</v>
      </c>
      <c r="C14" s="59">
        <v>0</v>
      </c>
      <c r="D14" s="59">
        <v>0</v>
      </c>
      <c r="E14" s="56">
        <f>(E11*0.02)*0.15</f>
        <v>1823400</v>
      </c>
      <c r="F14" s="59">
        <v>0</v>
      </c>
      <c r="G14" s="59">
        <v>0</v>
      </c>
      <c r="H14" s="56">
        <f>(H11*0.02)*0.15</f>
        <v>1823400</v>
      </c>
      <c r="I14" s="59">
        <v>0</v>
      </c>
      <c r="J14" s="59">
        <v>0</v>
      </c>
      <c r="K14" s="56">
        <f>(K11*0.02)*0.15</f>
        <v>1860414</v>
      </c>
      <c r="L14" s="59">
        <v>0</v>
      </c>
      <c r="M14" s="59">
        <v>0</v>
      </c>
      <c r="N14" s="56">
        <f>(N11*0.02)*0.15</f>
        <v>1897623</v>
      </c>
      <c r="O14" s="59">
        <v>0</v>
      </c>
      <c r="P14" s="59">
        <v>0</v>
      </c>
      <c r="Q14" s="56">
        <f>(Q11*0.02)*0.15</f>
        <v>1936302</v>
      </c>
      <c r="R14" s="59">
        <v>0</v>
      </c>
      <c r="S14" s="59">
        <v>0</v>
      </c>
      <c r="T14" s="56">
        <f>(T11*0.02)*0.15</f>
        <v>1975029</v>
      </c>
      <c r="U14" s="59">
        <v>0</v>
      </c>
      <c r="V14" s="59">
        <v>0</v>
      </c>
    </row>
    <row r="15" spans="1:22" s="55" customFormat="1">
      <c r="A15" s="58" t="s">
        <v>106</v>
      </c>
      <c r="B15" s="56">
        <v>25000000</v>
      </c>
      <c r="C15" s="59">
        <v>0</v>
      </c>
      <c r="D15" s="59">
        <f>B15</f>
        <v>25000000</v>
      </c>
      <c r="E15" s="56">
        <v>25000000</v>
      </c>
      <c r="F15" s="59">
        <v>0</v>
      </c>
      <c r="G15" s="59">
        <f>E15</f>
        <v>25000000</v>
      </c>
      <c r="H15" s="56">
        <v>25000000</v>
      </c>
      <c r="I15" s="59">
        <v>0</v>
      </c>
      <c r="J15" s="59">
        <f>H15</f>
        <v>25000000</v>
      </c>
      <c r="K15" s="56">
        <v>25000000</v>
      </c>
      <c r="L15" s="59">
        <v>0</v>
      </c>
      <c r="M15" s="59">
        <f>K15</f>
        <v>25000000</v>
      </c>
      <c r="N15" s="56">
        <v>25000000</v>
      </c>
      <c r="O15" s="59">
        <v>0</v>
      </c>
      <c r="P15" s="59">
        <f>N15</f>
        <v>25000000</v>
      </c>
      <c r="Q15" s="56">
        <v>25000000</v>
      </c>
      <c r="R15" s="59">
        <v>0</v>
      </c>
      <c r="S15" s="59">
        <f>Q15</f>
        <v>25000000</v>
      </c>
      <c r="T15" s="56">
        <v>25000000</v>
      </c>
      <c r="U15" s="59">
        <v>0</v>
      </c>
      <c r="V15" s="59">
        <f>T15</f>
        <v>25000000</v>
      </c>
    </row>
    <row r="16" spans="1:22" s="55" customFormat="1">
      <c r="A16" s="58" t="s">
        <v>107</v>
      </c>
      <c r="B16" s="56">
        <v>5000000</v>
      </c>
      <c r="C16" s="59"/>
      <c r="D16" s="59"/>
      <c r="E16" s="56">
        <v>5000000</v>
      </c>
      <c r="F16" s="59"/>
      <c r="G16" s="59"/>
      <c r="H16" s="56">
        <v>5000000</v>
      </c>
      <c r="I16" s="59"/>
      <c r="J16" s="59"/>
      <c r="K16" s="56">
        <v>5000000</v>
      </c>
      <c r="L16" s="59"/>
      <c r="M16" s="59"/>
      <c r="N16" s="56">
        <v>5000000</v>
      </c>
      <c r="O16" s="59"/>
      <c r="P16" s="59"/>
      <c r="Q16" s="56">
        <v>5000000</v>
      </c>
      <c r="R16" s="59"/>
      <c r="S16" s="59"/>
      <c r="T16" s="56">
        <v>5000000</v>
      </c>
      <c r="U16" s="59"/>
      <c r="V16" s="59"/>
    </row>
    <row r="17" spans="1:22" s="55" customFormat="1">
      <c r="A17" s="58" t="s">
        <v>9</v>
      </c>
      <c r="B17" s="56">
        <f>(B11*0.02)*0.85</f>
        <v>10332600</v>
      </c>
      <c r="C17" s="59">
        <v>0</v>
      </c>
      <c r="D17" s="59">
        <f>B17</f>
        <v>10332600</v>
      </c>
      <c r="E17" s="56">
        <f>(E11*0.02)*0.85</f>
        <v>10332600</v>
      </c>
      <c r="F17" s="59">
        <v>0</v>
      </c>
      <c r="G17" s="98">
        <f>E17</f>
        <v>10332600</v>
      </c>
      <c r="H17" s="56">
        <f>(H11*0.02)*0.85</f>
        <v>10332600</v>
      </c>
      <c r="I17" s="59">
        <v>0</v>
      </c>
      <c r="J17" s="98">
        <f>H17</f>
        <v>10332600</v>
      </c>
      <c r="K17" s="56">
        <f>(K11*0.02)*0.85</f>
        <v>10542346</v>
      </c>
      <c r="L17" s="59">
        <v>0</v>
      </c>
      <c r="M17" s="98">
        <f>K17</f>
        <v>10542346</v>
      </c>
      <c r="N17" s="56">
        <f>(N11*0.02)*0.85</f>
        <v>10753197</v>
      </c>
      <c r="O17" s="59">
        <v>0</v>
      </c>
      <c r="P17" s="98">
        <f>N17</f>
        <v>10753197</v>
      </c>
      <c r="Q17" s="56">
        <f>(Q11*0.02)*0.85</f>
        <v>10972378</v>
      </c>
      <c r="R17" s="59">
        <v>0</v>
      </c>
      <c r="S17" s="98">
        <f>Q17</f>
        <v>10972378</v>
      </c>
      <c r="T17" s="56">
        <f>(T11*0.02)*0.85</f>
        <v>11191831</v>
      </c>
      <c r="U17" s="59">
        <v>0</v>
      </c>
      <c r="V17" s="59">
        <f>T17</f>
        <v>11191831</v>
      </c>
    </row>
    <row r="18" spans="1:22" s="55" customFormat="1">
      <c r="A18" s="71" t="s">
        <v>116</v>
      </c>
      <c r="B18" s="56"/>
      <c r="C18" s="59"/>
      <c r="D18" s="59">
        <f>D13+B22</f>
        <v>577507087.93560004</v>
      </c>
      <c r="E18" s="56"/>
      <c r="F18" s="59"/>
      <c r="G18" s="98">
        <f>G13+E22</f>
        <v>617507087.93560004</v>
      </c>
      <c r="H18" s="56"/>
      <c r="I18" s="59"/>
      <c r="J18" s="98">
        <f>J13+H22</f>
        <v>617507087.93560004</v>
      </c>
      <c r="K18" s="56"/>
      <c r="L18" s="59"/>
      <c r="M18" s="98">
        <f>M13+K22</f>
        <v>631057183.07878399</v>
      </c>
      <c r="N18" s="56"/>
      <c r="O18" s="59"/>
      <c r="P18" s="98">
        <f>P13+N22</f>
        <v>644678486.67858803</v>
      </c>
      <c r="Q18" s="56"/>
      <c r="R18" s="59"/>
      <c r="S18" s="98">
        <f>S13+Q22</f>
        <v>658838071.53409195</v>
      </c>
      <c r="T18" s="56"/>
      <c r="U18" s="59"/>
      <c r="V18" s="98">
        <f>V13+T22</f>
        <v>673015107.93388796</v>
      </c>
    </row>
    <row r="19" spans="1:22" s="18" customFormat="1">
      <c r="A19" s="50" t="s">
        <v>88</v>
      </c>
      <c r="B19" s="51">
        <v>525900000</v>
      </c>
      <c r="C19" s="52">
        <v>0</v>
      </c>
      <c r="D19" s="52">
        <f>B19</f>
        <v>525900000</v>
      </c>
      <c r="E19" s="51">
        <v>525900000</v>
      </c>
      <c r="F19" s="52">
        <v>0</v>
      </c>
      <c r="G19" s="52">
        <f>E19</f>
        <v>525900000</v>
      </c>
      <c r="H19" s="51">
        <v>525900000</v>
      </c>
      <c r="I19" s="52">
        <v>0</v>
      </c>
      <c r="J19" s="52">
        <f>H19</f>
        <v>525900000</v>
      </c>
      <c r="K19" s="51">
        <v>536576000</v>
      </c>
      <c r="L19" s="52">
        <v>0</v>
      </c>
      <c r="M19" s="52">
        <f>K19</f>
        <v>536576000</v>
      </c>
      <c r="N19" s="51">
        <v>547307000</v>
      </c>
      <c r="O19" s="52">
        <v>0</v>
      </c>
      <c r="P19" s="52">
        <f>N19</f>
        <v>547307000</v>
      </c>
      <c r="Q19" s="51">
        <v>558463000</v>
      </c>
      <c r="R19" s="52">
        <v>0</v>
      </c>
      <c r="S19" s="52">
        <f>Q19</f>
        <v>558463000</v>
      </c>
      <c r="T19" s="51">
        <v>569632000</v>
      </c>
      <c r="U19" s="52">
        <v>0</v>
      </c>
      <c r="V19" s="52">
        <f>T19</f>
        <v>569632000</v>
      </c>
    </row>
    <row r="20" spans="1:22" s="55" customFormat="1">
      <c r="A20" s="58" t="s">
        <v>18</v>
      </c>
      <c r="B20" s="56">
        <f>B19*0.5</f>
        <v>262950000</v>
      </c>
      <c r="C20" s="59">
        <v>0</v>
      </c>
      <c r="D20" s="59">
        <v>0</v>
      </c>
      <c r="E20" s="56">
        <f>E19*0.5</f>
        <v>262950000</v>
      </c>
      <c r="F20" s="59">
        <v>0</v>
      </c>
      <c r="G20" s="59">
        <v>0</v>
      </c>
      <c r="H20" s="56">
        <f>H19*0.5</f>
        <v>262950000</v>
      </c>
      <c r="I20" s="59">
        <v>0</v>
      </c>
      <c r="J20" s="59">
        <v>0</v>
      </c>
      <c r="K20" s="56">
        <f>K19*0.5</f>
        <v>268288000</v>
      </c>
      <c r="L20" s="59">
        <v>0</v>
      </c>
      <c r="M20" s="59">
        <v>0</v>
      </c>
      <c r="N20" s="56">
        <f>N19*0.5</f>
        <v>273653500</v>
      </c>
      <c r="O20" s="59">
        <v>0</v>
      </c>
      <c r="P20" s="59">
        <v>0</v>
      </c>
      <c r="Q20" s="56">
        <f>Q19*0.5</f>
        <v>279231500</v>
      </c>
      <c r="R20" s="59">
        <v>0</v>
      </c>
      <c r="S20" s="59">
        <v>0</v>
      </c>
      <c r="T20" s="56">
        <f>T19*0.5</f>
        <v>284816000</v>
      </c>
      <c r="U20" s="59">
        <v>0</v>
      </c>
      <c r="V20" s="59">
        <v>0</v>
      </c>
    </row>
    <row r="21" spans="1:22" s="55" customFormat="1">
      <c r="A21" s="62" t="s">
        <v>91</v>
      </c>
      <c r="B21" s="63">
        <f>B20*0.715147032</f>
        <v>188047912.06439999</v>
      </c>
      <c r="C21" s="59"/>
      <c r="D21" s="59"/>
      <c r="E21" s="63">
        <f>E20*0.715147032</f>
        <v>188047912.06439999</v>
      </c>
      <c r="F21" s="59"/>
      <c r="G21" s="59"/>
      <c r="H21" s="63">
        <f>H20*0.715147032</f>
        <v>188047912.06439999</v>
      </c>
      <c r="I21" s="59"/>
      <c r="J21" s="59"/>
      <c r="K21" s="63">
        <f>K20*0.715147032</f>
        <v>191865366.92121598</v>
      </c>
      <c r="L21" s="59"/>
      <c r="M21" s="59"/>
      <c r="N21" s="63">
        <f>N20*0.715147032</f>
        <v>195702488.321412</v>
      </c>
      <c r="O21" s="59"/>
      <c r="P21" s="59"/>
      <c r="Q21" s="63">
        <f>Q20*0.715147032</f>
        <v>199691578.46590799</v>
      </c>
      <c r="R21" s="59"/>
      <c r="S21" s="59"/>
      <c r="T21" s="63">
        <f>T20*0.715147032</f>
        <v>203685317.06611198</v>
      </c>
      <c r="U21" s="59"/>
      <c r="V21" s="59"/>
    </row>
    <row r="22" spans="1:22" s="55" customFormat="1">
      <c r="A22" s="62" t="s">
        <v>90</v>
      </c>
      <c r="B22" s="63">
        <f>B20*0.284852968</f>
        <v>74902087.935599998</v>
      </c>
      <c r="C22" s="59"/>
      <c r="D22" s="59"/>
      <c r="E22" s="63">
        <f>E20*0.284852968</f>
        <v>74902087.935599998</v>
      </c>
      <c r="F22" s="59"/>
      <c r="G22" s="59"/>
      <c r="H22" s="63">
        <f>H20*0.284852968</f>
        <v>74902087.935599998</v>
      </c>
      <c r="I22" s="59"/>
      <c r="J22" s="59"/>
      <c r="K22" s="63">
        <f>K20*0.284852968</f>
        <v>76422633.078783989</v>
      </c>
      <c r="L22" s="59"/>
      <c r="M22" s="59"/>
      <c r="N22" s="63">
        <f>N20*0.284852968</f>
        <v>77951011.678588003</v>
      </c>
      <c r="O22" s="59"/>
      <c r="P22" s="59"/>
      <c r="Q22" s="63">
        <f>Q20*0.284852968</f>
        <v>79539921.534091994</v>
      </c>
      <c r="R22" s="59"/>
      <c r="S22" s="59"/>
      <c r="T22" s="63">
        <f>T20*0.284852968</f>
        <v>81130682.933887988</v>
      </c>
      <c r="U22" s="59"/>
      <c r="V22" s="59"/>
    </row>
    <row r="23" spans="1:22" s="55" customFormat="1">
      <c r="A23" s="58" t="s">
        <v>17</v>
      </c>
      <c r="B23" s="56">
        <f>B19*0.5</f>
        <v>262950000</v>
      </c>
      <c r="C23" s="59">
        <v>0</v>
      </c>
      <c r="D23" s="59">
        <v>0</v>
      </c>
      <c r="E23" s="56">
        <f>E19*0.5</f>
        <v>262950000</v>
      </c>
      <c r="F23" s="59">
        <v>0</v>
      </c>
      <c r="G23" s="59">
        <v>0</v>
      </c>
      <c r="H23" s="56">
        <f>H19*0.5</f>
        <v>262950000</v>
      </c>
      <c r="I23" s="59">
        <v>0</v>
      </c>
      <c r="J23" s="59">
        <v>0</v>
      </c>
      <c r="K23" s="56">
        <f>K19*0.5</f>
        <v>268288000</v>
      </c>
      <c r="L23" s="59">
        <v>0</v>
      </c>
      <c r="M23" s="59">
        <v>0</v>
      </c>
      <c r="N23" s="56">
        <f>N19*0.5</f>
        <v>273653500</v>
      </c>
      <c r="O23" s="59">
        <v>0</v>
      </c>
      <c r="P23" s="59">
        <v>0</v>
      </c>
      <c r="Q23" s="56">
        <f>Q19*0.5</f>
        <v>279231500</v>
      </c>
      <c r="R23" s="59">
        <v>0</v>
      </c>
      <c r="S23" s="59">
        <v>0</v>
      </c>
      <c r="T23" s="56">
        <f>T19*0.5</f>
        <v>284816000</v>
      </c>
      <c r="U23" s="59">
        <v>0</v>
      </c>
      <c r="V23" s="59">
        <v>0</v>
      </c>
    </row>
    <row r="24" spans="1:22">
      <c r="A24" s="64" t="s">
        <v>12</v>
      </c>
      <c r="B24" s="65">
        <v>3850000</v>
      </c>
      <c r="C24" s="57">
        <v>0</v>
      </c>
      <c r="D24" s="57">
        <v>0</v>
      </c>
      <c r="E24" s="65">
        <v>3850000</v>
      </c>
      <c r="F24" s="57">
        <v>0</v>
      </c>
      <c r="G24" s="57">
        <v>0</v>
      </c>
      <c r="H24" s="65">
        <v>3850000</v>
      </c>
      <c r="I24" s="57">
        <v>0</v>
      </c>
      <c r="J24" s="57">
        <v>0</v>
      </c>
      <c r="K24" s="65">
        <v>3850000</v>
      </c>
      <c r="L24" s="57">
        <v>0</v>
      </c>
      <c r="M24" s="57">
        <v>0</v>
      </c>
      <c r="N24" s="65">
        <v>3850000</v>
      </c>
      <c r="O24" s="57">
        <v>0</v>
      </c>
      <c r="P24" s="57">
        <v>0</v>
      </c>
      <c r="Q24" s="65">
        <v>3850000</v>
      </c>
      <c r="R24" s="57">
        <v>0</v>
      </c>
      <c r="S24" s="57">
        <v>0</v>
      </c>
      <c r="T24" s="65">
        <v>3850000</v>
      </c>
      <c r="U24" s="57">
        <v>0</v>
      </c>
      <c r="V24" s="57">
        <v>0</v>
      </c>
    </row>
    <row r="25" spans="1:22">
      <c r="A25" s="64" t="s">
        <v>26</v>
      </c>
      <c r="B25" s="65">
        <v>5000000</v>
      </c>
      <c r="C25" s="57"/>
      <c r="D25" s="57">
        <v>0</v>
      </c>
      <c r="E25" s="65">
        <v>5000000</v>
      </c>
      <c r="F25" s="57"/>
      <c r="G25" s="57">
        <v>0</v>
      </c>
      <c r="H25" s="65">
        <v>5000000</v>
      </c>
      <c r="I25" s="57"/>
      <c r="J25" s="57">
        <v>0</v>
      </c>
      <c r="K25" s="65">
        <v>5000000</v>
      </c>
      <c r="L25" s="57"/>
      <c r="M25" s="57">
        <v>0</v>
      </c>
      <c r="N25" s="65">
        <v>5000000</v>
      </c>
      <c r="O25" s="57"/>
      <c r="P25" s="57">
        <v>0</v>
      </c>
      <c r="Q25" s="65">
        <v>5000000</v>
      </c>
      <c r="R25" s="57"/>
      <c r="S25" s="57">
        <v>0</v>
      </c>
      <c r="T25" s="65">
        <v>5000000</v>
      </c>
      <c r="U25" s="57"/>
      <c r="V25" s="57">
        <v>0</v>
      </c>
    </row>
    <row r="26" spans="1:22">
      <c r="A26" s="64" t="s">
        <v>2</v>
      </c>
      <c r="B26" s="65">
        <f>SUM(B27:B28)</f>
        <v>128800000</v>
      </c>
      <c r="C26" s="57"/>
      <c r="D26" s="57">
        <v>0</v>
      </c>
      <c r="E26" s="96">
        <v>128800000</v>
      </c>
      <c r="F26" s="57"/>
      <c r="G26" s="57">
        <v>0</v>
      </c>
      <c r="H26" s="96">
        <v>128800000</v>
      </c>
      <c r="I26" s="57"/>
      <c r="J26" s="57">
        <v>0</v>
      </c>
      <c r="K26" s="96">
        <v>131415000</v>
      </c>
      <c r="L26" s="57"/>
      <c r="M26" s="57">
        <v>0</v>
      </c>
      <c r="N26" s="96">
        <v>134043000</v>
      </c>
      <c r="O26" s="57"/>
      <c r="P26" s="57">
        <v>0</v>
      </c>
      <c r="Q26" s="96">
        <v>136775000</v>
      </c>
      <c r="R26" s="57"/>
      <c r="S26" s="57">
        <v>0</v>
      </c>
      <c r="T26" s="96">
        <v>139511000</v>
      </c>
      <c r="U26" s="57"/>
      <c r="V26" s="57">
        <v>0</v>
      </c>
    </row>
    <row r="27" spans="1:22" s="55" customFormat="1">
      <c r="A27" s="58" t="s">
        <v>1</v>
      </c>
      <c r="B27" s="56">
        <v>106543360</v>
      </c>
      <c r="C27" s="59">
        <f>B27*0.005</f>
        <v>532716.80000000005</v>
      </c>
      <c r="D27" s="98">
        <f>B27-C27</f>
        <v>106010643.2</v>
      </c>
      <c r="E27" s="97">
        <f>E26*0.8272</f>
        <v>106543360</v>
      </c>
      <c r="F27" s="59">
        <f>E27*0.005</f>
        <v>532716.80000000005</v>
      </c>
      <c r="G27" s="98">
        <f>E27-F27</f>
        <v>106010643.2</v>
      </c>
      <c r="H27" s="97">
        <f>H26*0.8272</f>
        <v>106543360</v>
      </c>
      <c r="I27" s="98">
        <f>H27*0.005</f>
        <v>532716.80000000005</v>
      </c>
      <c r="J27" s="98">
        <f>H27-I27</f>
        <v>106010643.2</v>
      </c>
      <c r="K27" s="97">
        <f>K26*0.8272</f>
        <v>108706488</v>
      </c>
      <c r="L27" s="98">
        <f>K27*0.005</f>
        <v>543532.44000000006</v>
      </c>
      <c r="M27" s="98">
        <f>K27-L27</f>
        <v>108162955.56</v>
      </c>
      <c r="N27" s="56">
        <f>N26*0.8272</f>
        <v>110880369.60000001</v>
      </c>
      <c r="O27" s="59">
        <f>N27*0.005</f>
        <v>554401.848</v>
      </c>
      <c r="P27" s="98">
        <f>N27-O27</f>
        <v>110325967.752</v>
      </c>
      <c r="Q27" s="56">
        <f>Q26*0.8272</f>
        <v>113140280</v>
      </c>
      <c r="R27" s="59">
        <f>Q27*0.005</f>
        <v>565701.4</v>
      </c>
      <c r="S27" s="98">
        <f>Q27-R27</f>
        <v>112574578.59999999</v>
      </c>
      <c r="T27" s="56">
        <f>T26*0.8272</f>
        <v>115403499.2</v>
      </c>
      <c r="U27" s="59">
        <f>T27*0.005</f>
        <v>577017.49600000004</v>
      </c>
      <c r="V27" s="59">
        <f>T27-U27</f>
        <v>114826481.704</v>
      </c>
    </row>
    <row r="28" spans="1:22" s="55" customFormat="1">
      <c r="A28" s="58" t="s">
        <v>3</v>
      </c>
      <c r="B28" s="56">
        <v>22256640</v>
      </c>
      <c r="C28" s="59">
        <f>B28*0.005</f>
        <v>111283.2</v>
      </c>
      <c r="D28" s="98">
        <f>B28-C28</f>
        <v>22145356.800000001</v>
      </c>
      <c r="E28" s="97">
        <f>E26*0.1728</f>
        <v>22256640</v>
      </c>
      <c r="F28" s="59">
        <f>E28*0.005</f>
        <v>111283.2</v>
      </c>
      <c r="G28" s="98">
        <f>E28-F28</f>
        <v>22145356.800000001</v>
      </c>
      <c r="H28" s="97">
        <f>H26*0.1728</f>
        <v>22256640</v>
      </c>
      <c r="I28" s="98">
        <f>H28*0.005</f>
        <v>111283.2</v>
      </c>
      <c r="J28" s="98">
        <f>H28-I28</f>
        <v>22145356.800000001</v>
      </c>
      <c r="K28" s="97">
        <f>K26*0.1728</f>
        <v>22708512</v>
      </c>
      <c r="L28" s="98">
        <f>K28*0.005</f>
        <v>113542.56</v>
      </c>
      <c r="M28" s="98">
        <f>K28-L28</f>
        <v>22594969.440000001</v>
      </c>
      <c r="N28" s="97">
        <f>N26*0.1728</f>
        <v>23162630.400000002</v>
      </c>
      <c r="O28" s="98">
        <f>N28*0.005</f>
        <v>115813.15200000002</v>
      </c>
      <c r="P28" s="98">
        <f>N28-O28</f>
        <v>23046817.248000003</v>
      </c>
      <c r="Q28" s="97">
        <f>Q26*0.1728</f>
        <v>23634720</v>
      </c>
      <c r="R28" s="98">
        <f>Q28*0.005</f>
        <v>118173.6</v>
      </c>
      <c r="S28" s="98">
        <f>Q28-R28</f>
        <v>23516546.399999999</v>
      </c>
      <c r="T28" s="97">
        <f>T26*0.1728</f>
        <v>24107500.800000001</v>
      </c>
      <c r="U28" s="98">
        <f>T28*0.005</f>
        <v>120537.504</v>
      </c>
      <c r="V28" s="98">
        <f>T28-U28</f>
        <v>23986963.296</v>
      </c>
    </row>
    <row r="29" spans="1:22">
      <c r="A29" s="50" t="s">
        <v>13</v>
      </c>
      <c r="B29" s="51">
        <f>SUM(B31:B32)</f>
        <v>2165900000</v>
      </c>
      <c r="C29" s="52"/>
      <c r="D29" s="52">
        <v>0</v>
      </c>
      <c r="E29" s="51">
        <v>2198389000</v>
      </c>
      <c r="F29" s="52"/>
      <c r="G29" s="52">
        <v>0</v>
      </c>
      <c r="H29" s="51">
        <v>2237520000</v>
      </c>
      <c r="I29" s="52"/>
      <c r="J29" s="52">
        <v>0</v>
      </c>
      <c r="K29" s="51">
        <v>2282941000</v>
      </c>
      <c r="L29" s="52"/>
      <c r="M29" s="52">
        <v>0</v>
      </c>
      <c r="N29" s="51">
        <v>2328600000</v>
      </c>
      <c r="O29" s="52"/>
      <c r="P29" s="52">
        <v>0</v>
      </c>
      <c r="Q29" s="51">
        <v>2376064000</v>
      </c>
      <c r="R29" s="52"/>
      <c r="S29" s="52">
        <v>0</v>
      </c>
      <c r="T29" s="51">
        <v>2423585000</v>
      </c>
      <c r="U29" s="52"/>
      <c r="V29" s="52">
        <v>0</v>
      </c>
    </row>
    <row r="30" spans="1:22" s="55" customFormat="1">
      <c r="A30" s="58" t="s">
        <v>103</v>
      </c>
      <c r="B30" s="6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55" customFormat="1">
      <c r="A31" s="58" t="s">
        <v>14</v>
      </c>
      <c r="B31" s="56">
        <v>2104171850</v>
      </c>
      <c r="C31" s="59">
        <f>B31*0.0075</f>
        <v>15781288.875</v>
      </c>
      <c r="D31" s="98">
        <f>B31-C31</f>
        <v>2088390561.125</v>
      </c>
      <c r="E31" s="56">
        <f>(E29-E30)*0.9715</f>
        <v>2135734913.5</v>
      </c>
      <c r="F31" s="59">
        <f>E31*0.0075</f>
        <v>16018011.85125</v>
      </c>
      <c r="G31" s="98">
        <f>E31-F31</f>
        <v>2119716901.6487501</v>
      </c>
      <c r="H31" s="56">
        <f>(H29-H30)*0.9715</f>
        <v>2173750680</v>
      </c>
      <c r="I31" s="59">
        <f>H31*0.0075</f>
        <v>16303130.1</v>
      </c>
      <c r="J31" s="98">
        <f>H31-I31</f>
        <v>2157447549.9000001</v>
      </c>
      <c r="K31" s="56">
        <f>(K29-K30)*0.9715</f>
        <v>2217877181.5</v>
      </c>
      <c r="L31" s="59">
        <f>K31*0.0075</f>
        <v>16634078.86125</v>
      </c>
      <c r="M31" s="98">
        <f>K31-L31</f>
        <v>2201243102.6387501</v>
      </c>
      <c r="N31" s="56">
        <f>(N29-N30)*0.9715</f>
        <v>2262234900</v>
      </c>
      <c r="O31" s="59">
        <f>N31*0.0075</f>
        <v>16966761.75</v>
      </c>
      <c r="P31" s="98">
        <f>N31-O31</f>
        <v>2245268138.25</v>
      </c>
      <c r="Q31" s="56">
        <f>(Q29-Q30)*0.9715</f>
        <v>2308346176</v>
      </c>
      <c r="R31" s="59">
        <f>Q31*0.0075</f>
        <v>17312596.32</v>
      </c>
      <c r="S31" s="98">
        <f>Q31-R31</f>
        <v>2291033579.6799998</v>
      </c>
      <c r="T31" s="56">
        <f>(T29-T30)*0.9715</f>
        <v>2354512827.5</v>
      </c>
      <c r="U31" s="59">
        <f>T31*0.0075</f>
        <v>17658846.206250001</v>
      </c>
      <c r="V31" s="98">
        <f>T31-U31</f>
        <v>2336853981.2937498</v>
      </c>
    </row>
    <row r="32" spans="1:22" s="55" customFormat="1">
      <c r="A32" s="58" t="s">
        <v>15</v>
      </c>
      <c r="B32" s="97">
        <v>61728150</v>
      </c>
      <c r="C32" s="59">
        <v>0</v>
      </c>
      <c r="D32" s="98">
        <f>B32</f>
        <v>61728150</v>
      </c>
      <c r="E32" s="56">
        <f>E29-E30-E31</f>
        <v>62654086.5</v>
      </c>
      <c r="F32" s="59">
        <v>0</v>
      </c>
      <c r="G32" s="98">
        <f>E32</f>
        <v>62654086.5</v>
      </c>
      <c r="H32" s="56">
        <f>H29-H30-H31</f>
        <v>63769320</v>
      </c>
      <c r="I32" s="59">
        <v>0</v>
      </c>
      <c r="J32" s="98">
        <f>H32</f>
        <v>63769320</v>
      </c>
      <c r="K32" s="56">
        <f>K29-K30-K31</f>
        <v>65063818.5</v>
      </c>
      <c r="L32" s="59">
        <v>0</v>
      </c>
      <c r="M32" s="98">
        <f>K32</f>
        <v>65063818.5</v>
      </c>
      <c r="N32" s="56">
        <f>N29-N30-N31</f>
        <v>66365100</v>
      </c>
      <c r="O32" s="59">
        <v>0</v>
      </c>
      <c r="P32" s="98">
        <f>N32</f>
        <v>66365100</v>
      </c>
      <c r="Q32" s="56">
        <f>Q29-Q30-Q31</f>
        <v>67717824</v>
      </c>
      <c r="R32" s="59">
        <v>0</v>
      </c>
      <c r="S32" s="98">
        <f>Q32</f>
        <v>67717824</v>
      </c>
      <c r="T32" s="56">
        <f>T29-T30-T31</f>
        <v>69072172.5</v>
      </c>
      <c r="U32" s="59">
        <v>0</v>
      </c>
      <c r="V32" s="98">
        <f>T32</f>
        <v>69072172.5</v>
      </c>
    </row>
    <row r="33" spans="1:22">
      <c r="A33" s="50" t="s">
        <v>0</v>
      </c>
      <c r="B33" s="51">
        <v>10000000</v>
      </c>
      <c r="C33" s="52">
        <v>0</v>
      </c>
      <c r="D33" s="52">
        <v>0</v>
      </c>
      <c r="E33" s="51">
        <v>10000000</v>
      </c>
      <c r="F33" s="52">
        <v>0</v>
      </c>
      <c r="G33" s="52">
        <v>0</v>
      </c>
      <c r="H33" s="51">
        <v>10000000</v>
      </c>
      <c r="I33" s="52">
        <v>0</v>
      </c>
      <c r="J33" s="52">
        <v>0</v>
      </c>
      <c r="K33" s="51">
        <v>10000000</v>
      </c>
      <c r="L33" s="52">
        <v>0</v>
      </c>
      <c r="M33" s="52">
        <v>0</v>
      </c>
      <c r="N33" s="51">
        <v>10000000</v>
      </c>
      <c r="O33" s="52">
        <v>0</v>
      </c>
      <c r="P33" s="52">
        <v>0</v>
      </c>
      <c r="Q33" s="51">
        <v>10000000</v>
      </c>
      <c r="R33" s="52">
        <v>0</v>
      </c>
      <c r="S33" s="52">
        <v>0</v>
      </c>
      <c r="T33" s="51">
        <v>10000000</v>
      </c>
      <c r="U33" s="52">
        <v>0</v>
      </c>
      <c r="V33" s="52">
        <v>0</v>
      </c>
    </row>
    <row r="34" spans="1:22" s="55" customFormat="1">
      <c r="A34" s="50" t="s">
        <v>89</v>
      </c>
      <c r="B34" s="96">
        <v>4458650000</v>
      </c>
      <c r="C34" s="52">
        <f>B34*0.0075</f>
        <v>33439875</v>
      </c>
      <c r="D34" s="52">
        <f>B34-C34-B36</f>
        <v>4395210125</v>
      </c>
      <c r="E34" s="51">
        <v>4458650000</v>
      </c>
      <c r="F34" s="52">
        <f>E34*0.0075</f>
        <v>33439875</v>
      </c>
      <c r="G34" s="52">
        <f>E34-F34-E36</f>
        <v>4395210125</v>
      </c>
      <c r="H34" s="51">
        <v>4458650000</v>
      </c>
      <c r="I34" s="52">
        <f>H34*0.0075</f>
        <v>33439875</v>
      </c>
      <c r="J34" s="52">
        <f>H34-I34-H36</f>
        <v>4395210125</v>
      </c>
      <c r="K34" s="51">
        <v>4549161000</v>
      </c>
      <c r="L34" s="52">
        <f>K34*0.0075</f>
        <v>34118707.5</v>
      </c>
      <c r="M34" s="52">
        <f>K34-L34-K36</f>
        <v>4485042292.5</v>
      </c>
      <c r="N34" s="51">
        <v>4640144000</v>
      </c>
      <c r="O34" s="52">
        <f>N34*0.0075</f>
        <v>34801080</v>
      </c>
      <c r="P34" s="52">
        <f>N34-O34-N36</f>
        <v>4575342920</v>
      </c>
      <c r="Q34" s="51">
        <v>4734724000</v>
      </c>
      <c r="R34" s="52">
        <f>Q34*0.0075</f>
        <v>35510430</v>
      </c>
      <c r="S34" s="52">
        <f>Q34-R34-Q36</f>
        <v>4669213570</v>
      </c>
      <c r="T34" s="51">
        <v>4829418000</v>
      </c>
      <c r="U34" s="52">
        <f>T34*0.0075</f>
        <v>36220635</v>
      </c>
      <c r="V34" s="52">
        <f>T34-U34-T36</f>
        <v>4763197365</v>
      </c>
    </row>
    <row r="35" spans="1:22" s="55" customFormat="1">
      <c r="A35" s="58" t="s">
        <v>6</v>
      </c>
      <c r="B35" s="97">
        <v>22293250</v>
      </c>
      <c r="C35" s="59">
        <v>0</v>
      </c>
      <c r="D35" s="98">
        <f>B35</f>
        <v>22293250</v>
      </c>
      <c r="E35" s="56">
        <f>E34*0.005</f>
        <v>22293250</v>
      </c>
      <c r="F35" s="59">
        <v>0</v>
      </c>
      <c r="G35" s="98">
        <f>E35</f>
        <v>22293250</v>
      </c>
      <c r="H35" s="56">
        <f>H34*0.005</f>
        <v>22293250</v>
      </c>
      <c r="I35" s="59">
        <v>0</v>
      </c>
      <c r="J35" s="98">
        <f>H35</f>
        <v>22293250</v>
      </c>
      <c r="K35" s="56">
        <f>K34*0.005</f>
        <v>22745805</v>
      </c>
      <c r="L35" s="59">
        <v>0</v>
      </c>
      <c r="M35" s="98">
        <f>K35</f>
        <v>22745805</v>
      </c>
      <c r="N35" s="56">
        <f>N34*0.005</f>
        <v>23200720</v>
      </c>
      <c r="O35" s="59">
        <v>0</v>
      </c>
      <c r="P35" s="98">
        <f>N35</f>
        <v>23200720</v>
      </c>
      <c r="Q35" s="56">
        <f>Q34*0.005</f>
        <v>23673620</v>
      </c>
      <c r="R35" s="59">
        <v>0</v>
      </c>
      <c r="S35" s="98">
        <f>Q35</f>
        <v>23673620</v>
      </c>
      <c r="T35" s="56">
        <f>T34*0.005</f>
        <v>24147090</v>
      </c>
      <c r="U35" s="59">
        <v>0</v>
      </c>
      <c r="V35" s="98">
        <f>T35</f>
        <v>24147090</v>
      </c>
    </row>
    <row r="36" spans="1:22" s="55" customFormat="1">
      <c r="A36" s="58" t="s">
        <v>5</v>
      </c>
      <c r="B36" s="56">
        <v>30000000</v>
      </c>
      <c r="C36" s="59">
        <v>0</v>
      </c>
      <c r="D36" s="59">
        <v>0</v>
      </c>
      <c r="E36" s="56">
        <v>30000000</v>
      </c>
      <c r="F36" s="59">
        <v>0</v>
      </c>
      <c r="G36" s="59">
        <v>0</v>
      </c>
      <c r="H36" s="56">
        <v>30000000</v>
      </c>
      <c r="I36" s="59">
        <v>0</v>
      </c>
      <c r="J36" s="59">
        <v>0</v>
      </c>
      <c r="K36" s="56">
        <v>30000000</v>
      </c>
      <c r="L36" s="59">
        <v>0</v>
      </c>
      <c r="M36" s="59">
        <v>0</v>
      </c>
      <c r="N36" s="56">
        <v>30000000</v>
      </c>
      <c r="O36" s="59">
        <v>0</v>
      </c>
      <c r="P36" s="59">
        <v>0</v>
      </c>
      <c r="Q36" s="56">
        <v>30000000</v>
      </c>
      <c r="R36" s="59">
        <v>0</v>
      </c>
      <c r="S36" s="59">
        <v>0</v>
      </c>
      <c r="T36" s="56">
        <v>30000000</v>
      </c>
      <c r="U36" s="59">
        <v>0</v>
      </c>
      <c r="V36" s="59">
        <v>0</v>
      </c>
    </row>
    <row r="37" spans="1:22" s="55" customFormat="1">
      <c r="A37" s="58" t="s">
        <v>4</v>
      </c>
      <c r="B37" s="56">
        <f>B34-B35-B36</f>
        <v>4406356750</v>
      </c>
      <c r="C37" s="59">
        <f>C34</f>
        <v>33439875</v>
      </c>
      <c r="D37" s="98">
        <f>B37-C37</f>
        <v>4372916875</v>
      </c>
      <c r="E37" s="56">
        <f>E34-E35-E36</f>
        <v>4406356750</v>
      </c>
      <c r="F37" s="59">
        <f>F34</f>
        <v>33439875</v>
      </c>
      <c r="G37" s="59">
        <f>E37-F37</f>
        <v>4372916875</v>
      </c>
      <c r="H37" s="56">
        <f>H34-H35-H36</f>
        <v>4406356750</v>
      </c>
      <c r="I37" s="59">
        <f>I34</f>
        <v>33439875</v>
      </c>
      <c r="J37" s="59">
        <f>H37-I37</f>
        <v>4372916875</v>
      </c>
      <c r="K37" s="56">
        <f>K34-K35-K36</f>
        <v>4496415195</v>
      </c>
      <c r="L37" s="59">
        <f>L34</f>
        <v>34118707.5</v>
      </c>
      <c r="M37" s="59">
        <f>K37-L37</f>
        <v>4462296487.5</v>
      </c>
      <c r="N37" s="56">
        <f>N34-N35-N36</f>
        <v>4586943280</v>
      </c>
      <c r="O37" s="59">
        <f>O34</f>
        <v>34801080</v>
      </c>
      <c r="P37" s="59">
        <f>N37-O37</f>
        <v>4552142200</v>
      </c>
      <c r="Q37" s="56">
        <f>Q34-Q35-Q36</f>
        <v>4681050380</v>
      </c>
      <c r="R37" s="59">
        <f>R34</f>
        <v>35510430</v>
      </c>
      <c r="S37" s="59">
        <f>Q37-R37</f>
        <v>4645539950</v>
      </c>
      <c r="T37" s="56">
        <f>T34-T35-T36</f>
        <v>4775270910</v>
      </c>
      <c r="U37" s="59">
        <f>U34</f>
        <v>36220635</v>
      </c>
      <c r="V37" s="59">
        <f>T37-U37</f>
        <v>4739050275</v>
      </c>
    </row>
    <row r="38" spans="1:22" s="55" customFormat="1">
      <c r="A38" s="71" t="s">
        <v>115</v>
      </c>
      <c r="B38" s="56"/>
      <c r="C38" s="59"/>
      <c r="D38" s="98">
        <f>D37+B21+B23</f>
        <v>4823914787.0643997</v>
      </c>
      <c r="E38" s="56"/>
      <c r="F38" s="59"/>
      <c r="G38" s="98">
        <f>G37+E21+E23</f>
        <v>4823914787.0643997</v>
      </c>
      <c r="H38" s="56"/>
      <c r="I38" s="59"/>
      <c r="J38" s="98">
        <f>J37+H21+H23</f>
        <v>4823914787.0643997</v>
      </c>
      <c r="K38" s="56"/>
      <c r="L38" s="59"/>
      <c r="M38" s="98">
        <f>M37+K21+K23</f>
        <v>4922449854.421216</v>
      </c>
      <c r="N38" s="56"/>
      <c r="O38" s="59"/>
      <c r="P38" s="98">
        <f>P37+N21+N23</f>
        <v>5021498188.3214121</v>
      </c>
      <c r="Q38" s="56"/>
      <c r="R38" s="59"/>
      <c r="S38" s="98">
        <f>S37+Q21+Q23</f>
        <v>5124463028.4659081</v>
      </c>
      <c r="T38" s="56"/>
      <c r="U38" s="59"/>
      <c r="V38" s="98">
        <f>V37+T21+T23</f>
        <v>5227551592.0661116</v>
      </c>
    </row>
    <row r="41" spans="1:22">
      <c r="A41" s="67" t="s">
        <v>25</v>
      </c>
      <c r="B41" s="67"/>
      <c r="C41" s="68">
        <v>0</v>
      </c>
      <c r="D41" s="68">
        <v>0</v>
      </c>
      <c r="E41" s="67">
        <v>33495000</v>
      </c>
      <c r="F41" s="68">
        <v>0</v>
      </c>
      <c r="G41" s="68">
        <v>0</v>
      </c>
      <c r="H41" s="67">
        <v>34091000</v>
      </c>
      <c r="I41" s="67"/>
      <c r="J41" s="67"/>
      <c r="K41" s="67">
        <v>34783000</v>
      </c>
      <c r="L41" s="67"/>
      <c r="M41" s="67"/>
      <c r="N41" s="67">
        <v>35479000</v>
      </c>
      <c r="O41" s="67"/>
      <c r="P41" s="67"/>
      <c r="Q41" s="67">
        <v>36202000</v>
      </c>
      <c r="R41" s="67"/>
      <c r="S41" s="67"/>
      <c r="T41" s="67">
        <v>36926000</v>
      </c>
      <c r="U41" s="10"/>
      <c r="V41" s="10"/>
    </row>
    <row r="42" spans="1:22">
      <c r="A42" s="5" t="s">
        <v>21</v>
      </c>
      <c r="B42" s="2"/>
      <c r="C42" s="8">
        <v>0</v>
      </c>
      <c r="D42" s="8">
        <v>0</v>
      </c>
      <c r="E42" s="2"/>
      <c r="F42" s="8"/>
      <c r="G42" s="8"/>
      <c r="H42" s="2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>
      <c r="A43" s="4" t="s">
        <v>24</v>
      </c>
      <c r="B43" s="1"/>
      <c r="C43" s="8">
        <v>0</v>
      </c>
      <c r="D43" s="8">
        <v>0</v>
      </c>
      <c r="E43" s="1"/>
      <c r="F43" s="8"/>
      <c r="G43" s="8"/>
      <c r="H43" s="1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4" t="s">
        <v>23</v>
      </c>
      <c r="B44" s="1"/>
      <c r="C44" s="8">
        <v>0</v>
      </c>
      <c r="D44" s="8">
        <v>0</v>
      </c>
      <c r="E44" s="1"/>
      <c r="F44" s="8"/>
      <c r="G44" s="8"/>
      <c r="H44" s="1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4" t="s">
        <v>30</v>
      </c>
      <c r="B45" s="1"/>
      <c r="C45" s="8">
        <v>0</v>
      </c>
      <c r="D45" s="8">
        <v>0</v>
      </c>
      <c r="E45" s="1"/>
      <c r="F45" s="8"/>
      <c r="G45" s="8"/>
      <c r="H45" s="1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54" customFormat="1">
      <c r="A46" s="40" t="s">
        <v>108</v>
      </c>
      <c r="B46" s="39"/>
      <c r="C46" s="43"/>
      <c r="D46" s="43"/>
      <c r="E46" s="39">
        <v>5000000</v>
      </c>
      <c r="F46" s="43"/>
      <c r="G46" s="43"/>
      <c r="H46" s="39">
        <v>5000000</v>
      </c>
      <c r="I46" s="39">
        <v>5000000</v>
      </c>
      <c r="J46" s="39">
        <v>5000000</v>
      </c>
      <c r="K46" s="39">
        <v>5000000</v>
      </c>
      <c r="L46" s="39">
        <v>5000000</v>
      </c>
      <c r="M46" s="39">
        <v>5000000</v>
      </c>
      <c r="N46" s="39">
        <v>5000000</v>
      </c>
      <c r="O46" s="39">
        <v>5000000</v>
      </c>
      <c r="P46" s="39">
        <v>5000000</v>
      </c>
      <c r="Q46" s="39">
        <v>5000000</v>
      </c>
      <c r="R46" s="39">
        <v>5000000</v>
      </c>
      <c r="S46" s="39">
        <v>5000000</v>
      </c>
      <c r="T46" s="39">
        <v>5000000</v>
      </c>
      <c r="U46" s="39"/>
      <c r="V46" s="39"/>
    </row>
    <row r="47" spans="1:22">
      <c r="A47" s="42" t="s">
        <v>109</v>
      </c>
      <c r="B47" s="2"/>
      <c r="C47" s="8">
        <v>0</v>
      </c>
      <c r="D47" s="8">
        <v>0</v>
      </c>
      <c r="E47" s="43">
        <v>5000000</v>
      </c>
      <c r="F47" s="43">
        <v>0</v>
      </c>
      <c r="G47" s="43">
        <v>0</v>
      </c>
      <c r="H47" s="43">
        <v>5000000</v>
      </c>
      <c r="I47" s="43">
        <v>5000000</v>
      </c>
      <c r="J47" s="43">
        <v>5000000</v>
      </c>
      <c r="K47" s="43">
        <v>5000000</v>
      </c>
      <c r="L47" s="43">
        <v>5000000</v>
      </c>
      <c r="M47" s="43">
        <v>5000000</v>
      </c>
      <c r="N47" s="43">
        <v>5000000</v>
      </c>
      <c r="O47" s="43">
        <v>5000000</v>
      </c>
      <c r="P47" s="43">
        <v>5000000</v>
      </c>
      <c r="Q47" s="43">
        <v>5000000</v>
      </c>
      <c r="R47" s="43">
        <v>5000000</v>
      </c>
      <c r="S47" s="43">
        <v>5000000</v>
      </c>
      <c r="T47" s="43">
        <v>5000000</v>
      </c>
      <c r="U47" s="2"/>
      <c r="V47" s="2"/>
    </row>
    <row r="48" spans="1:22">
      <c r="A48" s="69" t="s">
        <v>110</v>
      </c>
      <c r="B48" s="69"/>
      <c r="C48" s="70">
        <v>0</v>
      </c>
      <c r="D48" s="70">
        <v>0</v>
      </c>
      <c r="E48" s="69">
        <v>4000000</v>
      </c>
      <c r="F48" s="70"/>
      <c r="G48" s="70"/>
      <c r="H48" s="69">
        <v>4000000</v>
      </c>
      <c r="I48" s="69">
        <v>4000000</v>
      </c>
      <c r="J48" s="69">
        <v>4000000</v>
      </c>
      <c r="K48" s="69">
        <v>4000000</v>
      </c>
      <c r="L48" s="69">
        <v>4000000</v>
      </c>
      <c r="M48" s="69">
        <v>4000000</v>
      </c>
      <c r="N48" s="69">
        <v>4000000</v>
      </c>
      <c r="O48" s="69">
        <v>4000000</v>
      </c>
      <c r="P48" s="69">
        <v>4000000</v>
      </c>
      <c r="Q48" s="69">
        <v>4000000</v>
      </c>
      <c r="R48" s="69">
        <v>4000000</v>
      </c>
      <c r="S48" s="69">
        <v>4000000</v>
      </c>
      <c r="T48" s="69">
        <v>4000000</v>
      </c>
      <c r="U48" s="10"/>
      <c r="V48" s="10"/>
    </row>
    <row r="49" spans="1:22" s="9" customFormat="1">
      <c r="A49" s="64" t="s">
        <v>111</v>
      </c>
      <c r="B49" s="65"/>
      <c r="C49" s="65">
        <v>0</v>
      </c>
      <c r="D49" s="65">
        <v>0</v>
      </c>
      <c r="E49" s="65"/>
      <c r="F49" s="65"/>
      <c r="G49" s="65"/>
      <c r="H49" s="65"/>
      <c r="I49" s="65"/>
      <c r="J49" s="65"/>
      <c r="K49" s="65"/>
      <c r="L49" s="65">
        <v>4000000</v>
      </c>
      <c r="M49" s="65">
        <v>4000000</v>
      </c>
      <c r="N49" s="65">
        <v>4000000</v>
      </c>
      <c r="O49" s="65">
        <v>4000000</v>
      </c>
      <c r="P49" s="65">
        <v>4000000</v>
      </c>
      <c r="Q49" s="65">
        <v>4000000</v>
      </c>
      <c r="R49" s="65">
        <v>4000000</v>
      </c>
      <c r="S49" s="65">
        <v>4000000</v>
      </c>
      <c r="T49" s="65">
        <v>4000000</v>
      </c>
      <c r="U49" s="8"/>
      <c r="V49" s="8"/>
    </row>
    <row r="50" spans="1:22" s="80" customFormat="1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59"/>
      <c r="V50" s="59"/>
    </row>
    <row r="51" spans="1:22" s="78" customFormat="1">
      <c r="A51" s="75" t="s">
        <v>117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77"/>
    </row>
    <row r="52" spans="1:22" s="80" customFormat="1">
      <c r="A52" s="50" t="s">
        <v>21</v>
      </c>
      <c r="B52" s="51">
        <v>33000000</v>
      </c>
      <c r="C52" s="51"/>
      <c r="D52" s="51"/>
      <c r="E52" s="51">
        <v>20000000</v>
      </c>
      <c r="F52" s="51"/>
      <c r="G52" s="51"/>
      <c r="H52" s="51">
        <v>20000000</v>
      </c>
      <c r="I52" s="51"/>
      <c r="J52" s="51"/>
      <c r="K52" s="51">
        <v>20000000</v>
      </c>
      <c r="L52" s="51"/>
      <c r="M52" s="51"/>
      <c r="N52" s="51">
        <v>20000000</v>
      </c>
      <c r="O52" s="51"/>
      <c r="P52" s="51"/>
      <c r="Q52" s="51">
        <v>20000000</v>
      </c>
      <c r="R52" s="51"/>
      <c r="S52" s="51"/>
      <c r="T52" s="51">
        <v>20000000</v>
      </c>
      <c r="U52" s="59"/>
      <c r="V52" s="59"/>
    </row>
    <row r="53" spans="1:22" s="80" customFormat="1">
      <c r="A53" s="40">
        <v>5312</v>
      </c>
      <c r="B53" s="59">
        <v>30000000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59"/>
      <c r="V53" s="59"/>
    </row>
    <row r="54" spans="1:22" s="18" customFormat="1">
      <c r="A54" s="42" t="s">
        <v>109</v>
      </c>
      <c r="B54" s="20">
        <v>3000000</v>
      </c>
      <c r="C54" s="19"/>
      <c r="D54" s="19"/>
      <c r="E54" s="19"/>
      <c r="F54" s="20"/>
      <c r="G54" s="19"/>
      <c r="H54" s="19"/>
      <c r="I54" s="21"/>
      <c r="J54" s="2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3"/>
      <c r="V54" s="23"/>
    </row>
    <row r="55" spans="1:22">
      <c r="A55" s="67" t="s">
        <v>110</v>
      </c>
      <c r="B55" s="51">
        <v>4500000</v>
      </c>
      <c r="C55" s="55"/>
      <c r="D55" s="55"/>
      <c r="E55" s="66"/>
      <c r="F55" s="80"/>
      <c r="G55" s="80"/>
      <c r="H55" s="66"/>
      <c r="I55" s="93"/>
      <c r="J55" s="93"/>
      <c r="K55" s="66"/>
      <c r="L55" s="55"/>
      <c r="M55" s="55"/>
      <c r="N55" s="66"/>
      <c r="O55" s="55"/>
      <c r="P55" s="55"/>
      <c r="Q55" s="66"/>
      <c r="R55" s="55"/>
      <c r="S55" s="55"/>
      <c r="T55" s="66"/>
    </row>
    <row r="56" spans="1:22" s="80" customFormat="1">
      <c r="A56" s="40" t="s">
        <v>121</v>
      </c>
      <c r="B56" s="59">
        <v>4000000</v>
      </c>
      <c r="C56" s="66"/>
      <c r="D56" s="66"/>
      <c r="E56" s="51">
        <v>7000000</v>
      </c>
      <c r="F56" s="85"/>
      <c r="G56" s="85"/>
      <c r="H56" s="51">
        <v>7000000</v>
      </c>
      <c r="I56" s="86"/>
      <c r="J56" s="86"/>
      <c r="K56" s="51">
        <v>7000000</v>
      </c>
      <c r="L56" s="84"/>
      <c r="M56" s="84"/>
      <c r="N56" s="51">
        <v>7000000</v>
      </c>
      <c r="O56" s="84"/>
      <c r="P56" s="84"/>
      <c r="Q56" s="51">
        <v>7000000</v>
      </c>
      <c r="R56" s="84"/>
      <c r="S56" s="84"/>
      <c r="T56" s="51">
        <v>7000000</v>
      </c>
      <c r="U56" s="59"/>
      <c r="V56" s="59"/>
    </row>
    <row r="57" spans="1:22" s="47" customFormat="1">
      <c r="A57" s="40" t="s">
        <v>22</v>
      </c>
      <c r="B57" s="20">
        <v>500000</v>
      </c>
      <c r="C57" s="19"/>
      <c r="D57" s="19"/>
      <c r="E57" s="89">
        <v>5000000</v>
      </c>
      <c r="F57" s="90"/>
      <c r="G57" s="89"/>
      <c r="H57" s="89">
        <v>5000000</v>
      </c>
      <c r="I57" s="91"/>
      <c r="J57" s="92"/>
      <c r="K57" s="89">
        <v>5000000</v>
      </c>
      <c r="L57" s="89"/>
      <c r="M57" s="89"/>
      <c r="N57" s="89">
        <v>5000000</v>
      </c>
      <c r="O57" s="89"/>
      <c r="P57" s="89"/>
      <c r="Q57" s="89">
        <v>5000000</v>
      </c>
      <c r="R57" s="89"/>
      <c r="S57" s="89"/>
      <c r="T57" s="89">
        <v>5000000</v>
      </c>
      <c r="U57" s="23"/>
      <c r="V57" s="23"/>
    </row>
    <row r="58" spans="1:22">
      <c r="A58" s="67" t="s">
        <v>20</v>
      </c>
      <c r="B58" s="51">
        <v>2120000000</v>
      </c>
      <c r="C58" s="68">
        <v>0</v>
      </c>
      <c r="D58" s="68">
        <v>0</v>
      </c>
      <c r="E58" s="67">
        <v>2301785760</v>
      </c>
      <c r="F58" s="68"/>
      <c r="G58" s="68"/>
      <c r="H58" s="67">
        <v>2352597681</v>
      </c>
      <c r="I58" s="87"/>
      <c r="J58" s="87"/>
      <c r="K58" s="67">
        <v>2406119278</v>
      </c>
      <c r="L58" s="67"/>
      <c r="M58" s="67"/>
      <c r="N58" s="67">
        <v>2464082691</v>
      </c>
      <c r="O58" s="67"/>
      <c r="P58" s="67"/>
      <c r="Q58" s="67">
        <v>2526239177</v>
      </c>
      <c r="R58" s="67"/>
      <c r="S58" s="67"/>
      <c r="T58" s="67">
        <v>2590122713</v>
      </c>
      <c r="U58" s="10"/>
      <c r="V58" s="10"/>
    </row>
    <row r="59" spans="1:22" s="80" customFormat="1">
      <c r="A59" s="83" t="s">
        <v>118</v>
      </c>
      <c r="B59" s="81"/>
      <c r="C59" s="81"/>
      <c r="D59" s="81"/>
      <c r="E59" s="81">
        <v>276214291</v>
      </c>
      <c r="F59" s="81"/>
      <c r="G59" s="81"/>
      <c r="H59" s="81">
        <v>282311722</v>
      </c>
      <c r="I59" s="82"/>
      <c r="J59" s="82"/>
      <c r="K59" s="81">
        <v>288734313</v>
      </c>
      <c r="L59" s="81"/>
      <c r="M59" s="81"/>
      <c r="N59" s="81">
        <v>295689923</v>
      </c>
      <c r="O59" s="81"/>
      <c r="P59" s="81"/>
      <c r="Q59" s="81">
        <v>303148701</v>
      </c>
      <c r="R59" s="81"/>
      <c r="S59" s="81"/>
      <c r="T59" s="81">
        <v>310814726</v>
      </c>
      <c r="U59" s="88"/>
      <c r="V59" s="88"/>
    </row>
    <row r="60" spans="1:22" s="72" customFormat="1">
      <c r="A60" s="67" t="s">
        <v>19</v>
      </c>
      <c r="B60" s="51">
        <v>105933000</v>
      </c>
      <c r="C60" s="68">
        <v>0</v>
      </c>
      <c r="D60" s="68">
        <v>0</v>
      </c>
      <c r="E60" s="67">
        <v>115016543</v>
      </c>
      <c r="F60" s="68"/>
      <c r="G60" s="68"/>
      <c r="H60" s="67">
        <v>117555533</v>
      </c>
      <c r="I60" s="87"/>
      <c r="J60" s="87"/>
      <c r="K60" s="67">
        <v>120229921</v>
      </c>
      <c r="L60" s="67"/>
      <c r="M60" s="67"/>
      <c r="N60" s="67">
        <v>123126260</v>
      </c>
      <c r="O60" s="67"/>
      <c r="P60" s="67"/>
      <c r="Q60" s="67">
        <v>126232120</v>
      </c>
      <c r="R60" s="67"/>
      <c r="S60" s="67"/>
      <c r="T60" s="67">
        <v>129424278</v>
      </c>
      <c r="U60" s="44"/>
      <c r="V60" s="44"/>
    </row>
    <row r="61" spans="1:22">
      <c r="A61" s="40" t="s">
        <v>119</v>
      </c>
      <c r="B61" s="73">
        <v>4500000</v>
      </c>
      <c r="C61" s="1"/>
      <c r="E61" s="7">
        <v>8000000</v>
      </c>
      <c r="H61" s="73">
        <v>8000000</v>
      </c>
      <c r="I61" s="33"/>
      <c r="K61" s="73">
        <v>8000000</v>
      </c>
      <c r="N61" s="73">
        <v>8000000</v>
      </c>
      <c r="Q61" s="73">
        <v>8000000</v>
      </c>
      <c r="R61" s="7"/>
      <c r="S61" s="7"/>
      <c r="T61" s="73">
        <v>8000000</v>
      </c>
    </row>
    <row r="62" spans="1:22">
      <c r="A62" s="40" t="s">
        <v>120</v>
      </c>
      <c r="B62" s="73">
        <v>1000000</v>
      </c>
      <c r="C62" s="1"/>
      <c r="E62" s="7">
        <v>2000000</v>
      </c>
      <c r="F62" s="35"/>
      <c r="H62" s="73">
        <v>2000000</v>
      </c>
      <c r="J62" s="33"/>
      <c r="K62" s="73">
        <v>2000000</v>
      </c>
      <c r="N62" s="73">
        <v>2000000</v>
      </c>
      <c r="Q62" s="73">
        <v>2000000</v>
      </c>
      <c r="R62" s="7"/>
      <c r="S62" s="36"/>
      <c r="T62" s="73">
        <v>2000000</v>
      </c>
    </row>
    <row r="63" spans="1:22">
      <c r="B63" s="30"/>
      <c r="C63" s="1"/>
      <c r="E63" s="7"/>
      <c r="F63" s="35"/>
      <c r="J63" s="33"/>
      <c r="L63" s="7"/>
      <c r="R63" s="7"/>
      <c r="S63" s="36"/>
    </row>
    <row r="64" spans="1:22">
      <c r="L64" s="7"/>
      <c r="R64" s="7"/>
      <c r="S64" s="7"/>
    </row>
    <row r="65" spans="2:19">
      <c r="L65" s="7"/>
      <c r="R65" s="7"/>
      <c r="S65" s="7"/>
    </row>
    <row r="66" spans="2:19">
      <c r="B66" s="30"/>
      <c r="C66" s="31"/>
      <c r="E66" s="30"/>
      <c r="F66" s="32"/>
      <c r="G66"/>
      <c r="H66" s="33"/>
      <c r="I66" s="7"/>
      <c r="J66" s="7"/>
      <c r="K66" s="31"/>
      <c r="M66" s="7"/>
      <c r="R66" s="7"/>
      <c r="S66" s="7"/>
    </row>
    <row r="67" spans="2:19">
      <c r="B67" s="31"/>
      <c r="C67" s="31"/>
      <c r="E67" s="7"/>
      <c r="G67"/>
      <c r="H67" s="33"/>
      <c r="I67" s="7"/>
      <c r="J67" s="7"/>
      <c r="M67" s="7"/>
      <c r="R67" s="7"/>
      <c r="S67" s="7"/>
    </row>
    <row r="68" spans="2:19">
      <c r="H68" s="7"/>
      <c r="J68" s="33"/>
      <c r="L68" s="7"/>
      <c r="M68" s="7"/>
      <c r="S68" s="7"/>
    </row>
    <row r="69" spans="2:19">
      <c r="E69" s="7"/>
      <c r="H69" s="7"/>
      <c r="L69" s="7"/>
      <c r="M69" s="7"/>
      <c r="R69" s="7"/>
    </row>
    <row r="70" spans="2:19">
      <c r="E70" s="7"/>
      <c r="F70" s="37"/>
      <c r="N70" s="7"/>
      <c r="O70" s="7"/>
    </row>
    <row r="71" spans="2:19">
      <c r="E71" s="41"/>
      <c r="I71" s="34"/>
      <c r="N71" s="7"/>
      <c r="O71" s="7"/>
    </row>
    <row r="72" spans="2:19">
      <c r="E72" s="41"/>
      <c r="F72" s="37"/>
    </row>
  </sheetData>
  <pageMargins left="0" right="0" top="0.25" bottom="0.25" header="0.3" footer="0.3"/>
  <pageSetup paperSize="3" orientation="landscape" r:id="rId1"/>
  <ignoredErrors>
    <ignoredError sqref="B31:B33 B8:B9 B3:B5 B24:B29 B12 B35:B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2"/>
  <sheetViews>
    <sheetView tabSelected="1" zoomScaleNormal="100" workbookViewId="0">
      <selection activeCell="B79" sqref="B79"/>
    </sheetView>
  </sheetViews>
  <sheetFormatPr defaultRowHeight="15"/>
  <cols>
    <col min="1" max="1" width="11.42578125" customWidth="1"/>
    <col min="2" max="2" width="59" customWidth="1"/>
    <col min="3" max="3" width="15.85546875" bestFit="1" customWidth="1"/>
    <col min="4" max="7" width="20.140625" customWidth="1"/>
    <col min="8" max="8" width="20.140625" style="160" customWidth="1"/>
    <col min="11" max="11" width="14.85546875" customWidth="1"/>
    <col min="12" max="12" width="17.5703125" customWidth="1"/>
  </cols>
  <sheetData>
    <row r="1" spans="1:12">
      <c r="A1" s="124"/>
      <c r="B1" s="125"/>
      <c r="C1" s="200" t="s">
        <v>175</v>
      </c>
      <c r="D1" s="126" t="s">
        <v>176</v>
      </c>
      <c r="E1" s="126" t="s">
        <v>177</v>
      </c>
      <c r="F1" s="126" t="s">
        <v>195</v>
      </c>
      <c r="G1" s="126" t="s">
        <v>200</v>
      </c>
      <c r="H1" s="127" t="s">
        <v>155</v>
      </c>
    </row>
    <row r="2" spans="1:12">
      <c r="A2" s="124"/>
      <c r="B2" s="128" t="s">
        <v>156</v>
      </c>
      <c r="C2" s="151"/>
      <c r="D2" s="129"/>
      <c r="E2" s="129"/>
      <c r="F2" s="130"/>
      <c r="G2" s="130"/>
      <c r="H2" s="131"/>
    </row>
    <row r="3" spans="1:12" ht="28.5" customHeight="1" thickBot="1">
      <c r="A3" s="203" t="s">
        <v>133</v>
      </c>
      <c r="B3" s="203"/>
      <c r="C3" s="204"/>
      <c r="D3" s="204"/>
      <c r="E3" s="204"/>
      <c r="F3" s="204"/>
      <c r="G3" s="203"/>
      <c r="H3" s="203"/>
    </row>
    <row r="4" spans="1:12" ht="15.75" thickBot="1">
      <c r="A4" s="132"/>
      <c r="B4" s="165" t="s">
        <v>157</v>
      </c>
      <c r="C4" s="133">
        <f>C6+C7+C10+C15+C17+C19+C27+C40+C37+C44+C45+C48+C56+C59+C60</f>
        <v>12150348461.655693</v>
      </c>
      <c r="D4" s="133">
        <f>D6+D7+D10+D14+D15+D19+D27+D35+D40+D41+D44+D45+D48+D56</f>
        <v>17894460367</v>
      </c>
      <c r="E4" s="133">
        <f t="shared" ref="E4" si="0">E6+E7+E10+E14+E15+E19+E27+E35+E40+E41+E44+E45+E48+E56</f>
        <v>18201940770</v>
      </c>
      <c r="F4" s="133">
        <f>F6+F7+F10+F14+F15+F19+F27+F35+F40+F41+F44+F45+F48+F56</f>
        <v>18551676708</v>
      </c>
      <c r="G4" s="133">
        <f>G6+G7+G10+G14+G15+G19+G27+G35+G40+G41+G44+G45+G48+G56</f>
        <v>18901573693</v>
      </c>
      <c r="H4" s="161">
        <f>SUM(C4,D4,E4,F4,G4)</f>
        <v>85699999999.655701</v>
      </c>
      <c r="K4" s="73"/>
      <c r="L4" s="153"/>
    </row>
    <row r="5" spans="1:12" s="72" customFormat="1">
      <c r="A5" s="195"/>
      <c r="B5" s="196" t="s">
        <v>201</v>
      </c>
      <c r="C5" s="197"/>
      <c r="D5" s="199">
        <f>D7+D10+D15+D20+D21+D22+D23+D26+D45+D50+D51+D56</f>
        <v>16163386635.049999</v>
      </c>
      <c r="E5" s="199">
        <f t="shared" ref="E5" si="1">E7+E10+E15+E20+E21+E22+E23+E26+E45+E50+E51+E56</f>
        <v>16417209787.9</v>
      </c>
      <c r="F5" s="199">
        <f>F7+F10+F15+F20+F21+F22+F23+F26+F45+F50+F51+F56</f>
        <v>16682508506.35</v>
      </c>
      <c r="G5" s="199">
        <f t="shared" ref="G5" si="2">G7+G10+G15+G20+G21+G22+G23+G26+G45+G50+G51+G56</f>
        <v>16948029049.6</v>
      </c>
      <c r="H5" s="161"/>
    </row>
    <row r="6" spans="1:12" ht="30">
      <c r="A6" s="134" t="s">
        <v>158</v>
      </c>
      <c r="B6" s="135" t="s">
        <v>0</v>
      </c>
      <c r="C6" s="137">
        <v>10000000</v>
      </c>
      <c r="D6" s="138">
        <v>0</v>
      </c>
      <c r="E6" s="138">
        <v>0</v>
      </c>
      <c r="F6" s="137">
        <v>0</v>
      </c>
      <c r="G6" s="137">
        <v>0</v>
      </c>
      <c r="H6" s="162">
        <f t="shared" ref="H6:H15" si="3">SUM(C6,D6,E6,F6,G6)</f>
        <v>10000000</v>
      </c>
    </row>
    <row r="7" spans="1:12">
      <c r="A7" s="134">
        <v>5305</v>
      </c>
      <c r="B7" s="135" t="s">
        <v>2</v>
      </c>
      <c r="C7" s="137">
        <v>142036417</v>
      </c>
      <c r="D7" s="139">
        <v>189879151</v>
      </c>
      <c r="E7" s="139">
        <v>192841266</v>
      </c>
      <c r="F7" s="139">
        <v>195926726</v>
      </c>
      <c r="G7" s="154">
        <v>199002776</v>
      </c>
      <c r="H7" s="161">
        <f t="shared" si="3"/>
        <v>919686336</v>
      </c>
    </row>
    <row r="8" spans="1:12">
      <c r="A8" s="140">
        <v>5303</v>
      </c>
      <c r="B8" s="141" t="s">
        <v>1</v>
      </c>
      <c r="C8" s="152">
        <f>C7*0.8272</f>
        <v>117492524.14240001</v>
      </c>
      <c r="D8" s="152">
        <f t="shared" ref="D8:G8" si="4">D7*0.8272</f>
        <v>157068033.70720002</v>
      </c>
      <c r="E8" s="152">
        <f t="shared" si="4"/>
        <v>159518295.23520002</v>
      </c>
      <c r="F8" s="152">
        <f t="shared" si="4"/>
        <v>162070587.74720001</v>
      </c>
      <c r="G8" s="152">
        <f t="shared" si="4"/>
        <v>164615096.30720001</v>
      </c>
      <c r="H8" s="163">
        <f t="shared" si="3"/>
        <v>760764537.13919997</v>
      </c>
    </row>
    <row r="9" spans="1:12">
      <c r="A9" s="140">
        <v>5304</v>
      </c>
      <c r="B9" s="141" t="s">
        <v>3</v>
      </c>
      <c r="C9" s="152">
        <f>C7*0.1728</f>
        <v>24543892.8576</v>
      </c>
      <c r="D9" s="152">
        <f t="shared" ref="D9:G9" si="5">D7*0.1728</f>
        <v>32811117.292800002</v>
      </c>
      <c r="E9" s="152">
        <f t="shared" si="5"/>
        <v>33322970.764800001</v>
      </c>
      <c r="F9" s="152">
        <f t="shared" si="5"/>
        <v>33856138.252800003</v>
      </c>
      <c r="G9" s="152">
        <f t="shared" si="5"/>
        <v>34387679.6928</v>
      </c>
      <c r="H9" s="163">
        <f t="shared" si="3"/>
        <v>158921798.8608</v>
      </c>
    </row>
    <row r="10" spans="1:12">
      <c r="A10" s="134">
        <v>5307</v>
      </c>
      <c r="B10" s="135" t="s">
        <v>159</v>
      </c>
      <c r="C10" s="137">
        <v>4929452499</v>
      </c>
      <c r="D10" s="139">
        <v>7505830848</v>
      </c>
      <c r="E10" s="139">
        <v>7622921809</v>
      </c>
      <c r="F10" s="139">
        <v>7744888558</v>
      </c>
      <c r="G10" s="154">
        <v>7866483309</v>
      </c>
      <c r="H10" s="161">
        <f t="shared" si="3"/>
        <v>35669577023</v>
      </c>
    </row>
    <row r="11" spans="1:12">
      <c r="A11" s="140">
        <v>5307</v>
      </c>
      <c r="B11" s="141" t="s">
        <v>6</v>
      </c>
      <c r="C11" s="152">
        <f>C10*0.005</f>
        <v>24647262.495000001</v>
      </c>
      <c r="D11" s="152">
        <f t="shared" ref="D11:G11" si="6">D10*0.005</f>
        <v>37529154.240000002</v>
      </c>
      <c r="E11" s="152">
        <f t="shared" si="6"/>
        <v>38114609.045000002</v>
      </c>
      <c r="F11" s="152">
        <f t="shared" si="6"/>
        <v>38724442.789999999</v>
      </c>
      <c r="G11" s="152">
        <f t="shared" si="6"/>
        <v>39332416.545000002</v>
      </c>
      <c r="H11" s="163">
        <f t="shared" si="3"/>
        <v>178347885.11500001</v>
      </c>
    </row>
    <row r="12" spans="1:12">
      <c r="A12" s="140">
        <v>5307</v>
      </c>
      <c r="B12" s="141" t="s">
        <v>5</v>
      </c>
      <c r="C12" s="152">
        <v>30000000</v>
      </c>
      <c r="D12" s="152">
        <v>60906000</v>
      </c>
      <c r="E12" s="152">
        <v>61856134</v>
      </c>
      <c r="F12" s="152">
        <v>62845832</v>
      </c>
      <c r="G12" s="152">
        <v>63832511</v>
      </c>
      <c r="H12" s="163">
        <f t="shared" si="3"/>
        <v>279440477</v>
      </c>
    </row>
    <row r="13" spans="1:12">
      <c r="A13" s="142">
        <v>5307</v>
      </c>
      <c r="B13" s="143" t="s">
        <v>4</v>
      </c>
      <c r="C13" s="158">
        <f>C10-C11-C12</f>
        <v>4874805236.5050001</v>
      </c>
      <c r="D13" s="158">
        <f t="shared" ref="D13:G13" si="7">D10-D11-D12</f>
        <v>7407395693.7600002</v>
      </c>
      <c r="E13" s="158">
        <f t="shared" si="7"/>
        <v>7522951065.9549999</v>
      </c>
      <c r="F13" s="158">
        <f t="shared" si="7"/>
        <v>7643318283.21</v>
      </c>
      <c r="G13" s="158">
        <f t="shared" si="7"/>
        <v>7763318381.4549999</v>
      </c>
      <c r="H13" s="163">
        <f t="shared" si="3"/>
        <v>35211788660.885002</v>
      </c>
    </row>
    <row r="14" spans="1:12" s="72" customFormat="1">
      <c r="A14" s="166">
        <v>5308</v>
      </c>
      <c r="B14" s="167" t="s">
        <v>192</v>
      </c>
      <c r="C14" s="158"/>
      <c r="D14" s="180">
        <v>101510000</v>
      </c>
      <c r="E14" s="180">
        <v>103093556</v>
      </c>
      <c r="F14" s="180">
        <v>104743053</v>
      </c>
      <c r="G14" s="181">
        <v>106387519</v>
      </c>
      <c r="H14" s="178">
        <f t="shared" si="3"/>
        <v>415734128</v>
      </c>
    </row>
    <row r="15" spans="1:12">
      <c r="A15" s="134">
        <v>5310</v>
      </c>
      <c r="B15" s="135" t="s">
        <v>7</v>
      </c>
      <c r="C15" s="137">
        <v>285574688</v>
      </c>
      <c r="D15" s="139">
        <v>434830298</v>
      </c>
      <c r="E15" s="139">
        <v>441613651</v>
      </c>
      <c r="F15" s="137">
        <v>448679469</v>
      </c>
      <c r="G15" s="154">
        <v>455723737</v>
      </c>
      <c r="H15" s="161">
        <f t="shared" si="3"/>
        <v>2066421843</v>
      </c>
    </row>
    <row r="16" spans="1:12" s="72" customFormat="1">
      <c r="A16" s="134"/>
      <c r="B16" s="143" t="s">
        <v>7</v>
      </c>
      <c r="C16" s="137"/>
      <c r="D16" s="186">
        <f>D15-(D17+D18)</f>
        <v>409452798</v>
      </c>
      <c r="E16" s="186">
        <f t="shared" ref="E16:G16" si="8">E15-(E17+E18)</f>
        <v>415840262</v>
      </c>
      <c r="F16" s="144">
        <f t="shared" si="8"/>
        <v>422493705</v>
      </c>
      <c r="G16" s="193">
        <f t="shared" si="8"/>
        <v>429126857</v>
      </c>
      <c r="H16" s="161"/>
    </row>
    <row r="17" spans="1:8">
      <c r="A17" s="134">
        <v>5310</v>
      </c>
      <c r="B17" s="135" t="s">
        <v>113</v>
      </c>
      <c r="C17" s="144">
        <v>3500000</v>
      </c>
      <c r="D17" s="144">
        <v>5075500</v>
      </c>
      <c r="E17" s="144">
        <v>5154678</v>
      </c>
      <c r="F17" s="144">
        <v>5237153</v>
      </c>
      <c r="G17" s="189">
        <v>5319376</v>
      </c>
      <c r="H17" s="187">
        <f t="shared" ref="H17:H53" si="9">SUM(C17,D17,E17,F17,G17)</f>
        <v>24286707</v>
      </c>
    </row>
    <row r="18" spans="1:8" s="72" customFormat="1">
      <c r="A18" s="166">
        <v>5310</v>
      </c>
      <c r="B18" s="167" t="s">
        <v>178</v>
      </c>
      <c r="C18" s="168">
        <v>0</v>
      </c>
      <c r="D18" s="171">
        <v>20302000</v>
      </c>
      <c r="E18" s="172">
        <v>20618711</v>
      </c>
      <c r="F18" s="172">
        <v>20948611</v>
      </c>
      <c r="G18" s="190">
        <v>21277504</v>
      </c>
      <c r="H18" s="188">
        <f t="shared" si="9"/>
        <v>83146826</v>
      </c>
    </row>
    <row r="19" spans="1:8">
      <c r="A19" s="134">
        <v>5311</v>
      </c>
      <c r="B19" s="135" t="s">
        <v>8</v>
      </c>
      <c r="C19" s="137">
        <v>673299658</v>
      </c>
      <c r="D19" s="139">
        <v>1025199724</v>
      </c>
      <c r="E19" s="139">
        <v>1041192839</v>
      </c>
      <c r="F19" s="137">
        <v>1057851925</v>
      </c>
      <c r="G19" s="154">
        <v>1074460200</v>
      </c>
      <c r="H19" s="161">
        <f t="shared" si="9"/>
        <v>4872004346</v>
      </c>
    </row>
    <row r="20" spans="1:8">
      <c r="A20" s="140">
        <v>5311</v>
      </c>
      <c r="B20" s="141" t="s">
        <v>8</v>
      </c>
      <c r="C20" s="152">
        <f>C19-C21-C22-C24-C26</f>
        <v>604833664.84000003</v>
      </c>
      <c r="D20" s="152">
        <f>D19-D21-D22-D24-D26-D23</f>
        <v>898261229.51999998</v>
      </c>
      <c r="E20" s="185">
        <f t="shared" ref="E20:F20" si="10">E19-E21-E22-E24-E26-E23</f>
        <v>912430104.22000003</v>
      </c>
      <c r="F20" s="185">
        <f t="shared" si="10"/>
        <v>927188986.5</v>
      </c>
      <c r="G20" s="185">
        <f>G19-G21-G22-G24-G26-G23</f>
        <v>941902854</v>
      </c>
      <c r="H20" s="163">
        <f t="shared" si="9"/>
        <v>4284616839.0799999</v>
      </c>
    </row>
    <row r="21" spans="1:8">
      <c r="A21" s="140" t="s">
        <v>134</v>
      </c>
      <c r="B21" s="141" t="s">
        <v>160</v>
      </c>
      <c r="C21" s="152">
        <v>30000000</v>
      </c>
      <c r="D21" s="152">
        <v>45679500</v>
      </c>
      <c r="E21" s="152">
        <v>46392100</v>
      </c>
      <c r="F21" s="152">
        <v>47134374</v>
      </c>
      <c r="G21" s="152">
        <v>47874383</v>
      </c>
      <c r="H21" s="163">
        <f t="shared" si="9"/>
        <v>217080357</v>
      </c>
    </row>
    <row r="22" spans="1:8">
      <c r="A22" s="140" t="s">
        <v>134</v>
      </c>
      <c r="B22" s="141" t="s">
        <v>161</v>
      </c>
      <c r="C22" s="152">
        <v>5000000</v>
      </c>
      <c r="D22" s="152">
        <v>10000000</v>
      </c>
      <c r="E22" s="152">
        <v>10000000</v>
      </c>
      <c r="F22" s="152">
        <v>10000000</v>
      </c>
      <c r="G22" s="152">
        <v>10000000</v>
      </c>
      <c r="H22" s="163">
        <f t="shared" si="9"/>
        <v>45000000</v>
      </c>
    </row>
    <row r="23" spans="1:8" s="72" customFormat="1">
      <c r="A23" s="169" t="s">
        <v>135</v>
      </c>
      <c r="B23" s="170" t="s">
        <v>179</v>
      </c>
      <c r="C23" s="152"/>
      <c r="D23" s="171">
        <v>50755000</v>
      </c>
      <c r="E23" s="171">
        <v>51546778</v>
      </c>
      <c r="F23" s="171">
        <v>52371526</v>
      </c>
      <c r="G23" s="171">
        <v>53193759</v>
      </c>
      <c r="H23" s="179">
        <f t="shared" si="9"/>
        <v>207867063</v>
      </c>
    </row>
    <row r="24" spans="1:8">
      <c r="A24" s="146" t="s">
        <v>135</v>
      </c>
      <c r="B24" s="148" t="s">
        <v>10</v>
      </c>
      <c r="C24" s="149">
        <v>20000000</v>
      </c>
      <c r="D24" s="149">
        <v>0</v>
      </c>
      <c r="E24" s="149">
        <v>0</v>
      </c>
      <c r="F24" s="149">
        <v>0</v>
      </c>
      <c r="G24" s="149">
        <v>0</v>
      </c>
      <c r="H24" s="163">
        <f t="shared" si="9"/>
        <v>20000000</v>
      </c>
    </row>
    <row r="25" spans="1:8">
      <c r="A25" s="140">
        <v>5311</v>
      </c>
      <c r="B25" s="141" t="s">
        <v>173</v>
      </c>
      <c r="C25" s="152">
        <f>C26*0.15</f>
        <v>2019898.9739999999</v>
      </c>
      <c r="D25" s="202">
        <f t="shared" ref="D25:G25" si="11">D26*0.15</f>
        <v>3075599.1719999998</v>
      </c>
      <c r="E25" s="152">
        <f>E26*0.15</f>
        <v>3123578.517</v>
      </c>
      <c r="F25" s="152">
        <f t="shared" si="11"/>
        <v>3173555.7749999999</v>
      </c>
      <c r="G25" s="152">
        <f t="shared" si="11"/>
        <v>3223380.6</v>
      </c>
      <c r="H25" s="163">
        <f t="shared" si="9"/>
        <v>14616013.037999999</v>
      </c>
    </row>
    <row r="26" spans="1:8">
      <c r="A26" s="140">
        <v>5311</v>
      </c>
      <c r="B26" s="141" t="s">
        <v>162</v>
      </c>
      <c r="C26" s="152">
        <f>C19*0.02</f>
        <v>13465993.16</v>
      </c>
      <c r="D26" s="152">
        <f>D19*0.02</f>
        <v>20503994.48</v>
      </c>
      <c r="E26" s="152">
        <f t="shared" ref="E26:G26" si="12">E19*0.02</f>
        <v>20823856.780000001</v>
      </c>
      <c r="F26" s="152">
        <f t="shared" si="12"/>
        <v>21157038.5</v>
      </c>
      <c r="G26" s="152">
        <f t="shared" si="12"/>
        <v>21489204</v>
      </c>
      <c r="H26" s="163">
        <f t="shared" si="9"/>
        <v>97440086.920000002</v>
      </c>
    </row>
    <row r="27" spans="1:8">
      <c r="A27" s="134">
        <v>5312</v>
      </c>
      <c r="B27" s="145" t="s">
        <v>170</v>
      </c>
      <c r="C27" s="137">
        <v>28000000</v>
      </c>
      <c r="D27" s="137">
        <v>53498300</v>
      </c>
      <c r="E27" s="137">
        <v>54020873</v>
      </c>
      <c r="F27" s="137">
        <v>54565207</v>
      </c>
      <c r="G27" s="137">
        <v>55107881</v>
      </c>
      <c r="H27" s="161">
        <f t="shared" si="9"/>
        <v>245192261</v>
      </c>
    </row>
    <row r="28" spans="1:8">
      <c r="A28" s="134">
        <v>5312</v>
      </c>
      <c r="B28" s="135" t="s">
        <v>163</v>
      </c>
      <c r="C28" s="144">
        <v>3000000</v>
      </c>
      <c r="D28" s="152">
        <v>3045300</v>
      </c>
      <c r="E28" s="144">
        <v>3092807</v>
      </c>
      <c r="F28" s="144">
        <v>3142292</v>
      </c>
      <c r="G28" s="144">
        <v>3191626</v>
      </c>
      <c r="H28" s="161">
        <f t="shared" si="9"/>
        <v>15472025</v>
      </c>
    </row>
    <row r="29" spans="1:8">
      <c r="A29" s="134">
        <v>5312</v>
      </c>
      <c r="B29" s="135" t="s">
        <v>199</v>
      </c>
      <c r="C29" s="144">
        <v>5000000</v>
      </c>
      <c r="D29" s="185">
        <v>10151000</v>
      </c>
      <c r="E29" s="194">
        <v>10309356</v>
      </c>
      <c r="F29" s="194">
        <v>10474305</v>
      </c>
      <c r="G29" s="194">
        <v>10638752</v>
      </c>
      <c r="H29" s="161">
        <f t="shared" si="9"/>
        <v>46573413</v>
      </c>
    </row>
    <row r="30" spans="1:8" s="72" customFormat="1">
      <c r="A30" s="166">
        <v>5312</v>
      </c>
      <c r="B30" s="173" t="s">
        <v>198</v>
      </c>
      <c r="C30" s="137"/>
      <c r="D30" s="172"/>
      <c r="E30" s="172"/>
      <c r="F30" s="172"/>
      <c r="G30" s="172"/>
      <c r="H30" s="178">
        <f t="shared" si="9"/>
        <v>0</v>
      </c>
    </row>
    <row r="31" spans="1:8" s="72" customFormat="1">
      <c r="A31" s="166" t="s">
        <v>193</v>
      </c>
      <c r="B31" s="167" t="s">
        <v>183</v>
      </c>
      <c r="C31" s="137"/>
      <c r="D31" s="172">
        <v>5075500</v>
      </c>
      <c r="E31" s="172">
        <v>5154678</v>
      </c>
      <c r="F31" s="172">
        <v>5237153</v>
      </c>
      <c r="G31" s="172">
        <v>5319376</v>
      </c>
      <c r="H31" s="178">
        <f t="shared" si="9"/>
        <v>20786707</v>
      </c>
    </row>
    <row r="32" spans="1:8" s="72" customFormat="1">
      <c r="A32" s="166" t="s">
        <v>194</v>
      </c>
      <c r="B32" s="167" t="s">
        <v>182</v>
      </c>
      <c r="C32" s="137"/>
      <c r="D32" s="172">
        <v>5075500</v>
      </c>
      <c r="E32" s="172">
        <v>5154678</v>
      </c>
      <c r="F32" s="172">
        <v>5237153</v>
      </c>
      <c r="G32" s="172">
        <v>5319376</v>
      </c>
      <c r="H32" s="161">
        <f t="shared" si="9"/>
        <v>20786707</v>
      </c>
    </row>
    <row r="33" spans="1:8" s="72" customFormat="1">
      <c r="A33" s="166" t="s">
        <v>180</v>
      </c>
      <c r="B33" s="167" t="s">
        <v>181</v>
      </c>
      <c r="C33" s="168"/>
      <c r="D33" s="172">
        <v>10075500</v>
      </c>
      <c r="E33" s="172">
        <v>10154678</v>
      </c>
      <c r="F33" s="172">
        <v>10237153</v>
      </c>
      <c r="G33" s="172">
        <v>10319376</v>
      </c>
      <c r="H33" s="161">
        <f t="shared" si="9"/>
        <v>40786707</v>
      </c>
    </row>
    <row r="34" spans="1:8" s="72" customFormat="1">
      <c r="A34" s="166">
        <v>5312</v>
      </c>
      <c r="B34" s="167" t="s">
        <v>184</v>
      </c>
      <c r="C34" s="137"/>
      <c r="D34" s="168">
        <v>0</v>
      </c>
      <c r="E34" s="168">
        <v>0</v>
      </c>
      <c r="F34" s="168">
        <v>0</v>
      </c>
      <c r="G34" s="168">
        <v>0</v>
      </c>
      <c r="H34" s="161">
        <f t="shared" si="9"/>
        <v>0</v>
      </c>
    </row>
    <row r="35" spans="1:8" s="72" customFormat="1">
      <c r="A35" s="183">
        <v>5314</v>
      </c>
      <c r="B35" s="184" t="s">
        <v>171</v>
      </c>
      <c r="C35" s="137"/>
      <c r="D35" s="168">
        <v>23347300</v>
      </c>
      <c r="E35" s="168">
        <v>23711518</v>
      </c>
      <c r="F35" s="168">
        <v>24090902</v>
      </c>
      <c r="G35" s="168">
        <v>24469129</v>
      </c>
      <c r="H35" s="178">
        <f t="shared" si="9"/>
        <v>95618849</v>
      </c>
    </row>
    <row r="36" spans="1:8" s="72" customFormat="1">
      <c r="A36" s="183" t="s">
        <v>196</v>
      </c>
      <c r="B36" s="135"/>
      <c r="C36" s="137"/>
      <c r="D36" s="171">
        <v>4060400</v>
      </c>
      <c r="E36" s="172">
        <v>4123742</v>
      </c>
      <c r="F36" s="172">
        <v>4189722</v>
      </c>
      <c r="G36" s="172">
        <v>4255501</v>
      </c>
      <c r="H36" s="188">
        <f t="shared" si="9"/>
        <v>16629365</v>
      </c>
    </row>
    <row r="37" spans="1:8">
      <c r="A37" s="134" t="s">
        <v>164</v>
      </c>
      <c r="B37" s="135" t="s">
        <v>165</v>
      </c>
      <c r="C37" s="137">
        <v>9000000</v>
      </c>
      <c r="D37" s="152">
        <v>5075500</v>
      </c>
      <c r="E37" s="137">
        <v>5154678</v>
      </c>
      <c r="F37" s="137">
        <v>5237153</v>
      </c>
      <c r="G37" s="137">
        <v>5319376</v>
      </c>
      <c r="H37" s="161">
        <f t="shared" si="9"/>
        <v>29786707</v>
      </c>
    </row>
    <row r="38" spans="1:8" s="72" customFormat="1">
      <c r="A38" s="166" t="s">
        <v>186</v>
      </c>
      <c r="B38" s="167" t="s">
        <v>185</v>
      </c>
      <c r="C38" s="137"/>
      <c r="D38" s="171">
        <v>12181200</v>
      </c>
      <c r="E38" s="172">
        <v>12371227</v>
      </c>
      <c r="F38" s="172">
        <v>12569166</v>
      </c>
      <c r="G38" s="172">
        <v>12766502</v>
      </c>
      <c r="H38" s="188">
        <f t="shared" si="9"/>
        <v>49888095</v>
      </c>
    </row>
    <row r="39" spans="1:8">
      <c r="A39" s="146" t="s">
        <v>166</v>
      </c>
      <c r="B39" s="147" t="s">
        <v>26</v>
      </c>
      <c r="C39" s="152">
        <v>5000000</v>
      </c>
      <c r="D39" s="152">
        <v>5000000</v>
      </c>
      <c r="E39" s="152">
        <v>5000000</v>
      </c>
      <c r="F39" s="152">
        <v>5000000</v>
      </c>
      <c r="G39" s="152">
        <v>5000000</v>
      </c>
      <c r="H39" s="163">
        <f t="shared" si="9"/>
        <v>25000000</v>
      </c>
    </row>
    <row r="40" spans="1:8">
      <c r="A40" s="134">
        <v>5318</v>
      </c>
      <c r="B40" s="135" t="s">
        <v>11</v>
      </c>
      <c r="C40" s="137">
        <v>3000000</v>
      </c>
      <c r="D40" s="137">
        <v>5075500</v>
      </c>
      <c r="E40" s="137">
        <v>5154678</v>
      </c>
      <c r="F40" s="137">
        <v>5237153</v>
      </c>
      <c r="G40" s="137">
        <v>5319376</v>
      </c>
      <c r="H40" s="161">
        <f t="shared" si="9"/>
        <v>23786707</v>
      </c>
    </row>
    <row r="41" spans="1:8" s="72" customFormat="1">
      <c r="A41" s="166">
        <v>5328</v>
      </c>
      <c r="B41" s="173" t="s">
        <v>187</v>
      </c>
      <c r="C41" s="152"/>
      <c r="D41" s="168">
        <v>30453000</v>
      </c>
      <c r="E41" s="168">
        <v>30928067</v>
      </c>
      <c r="F41" s="168">
        <v>31422916</v>
      </c>
      <c r="G41" s="168">
        <v>31916256</v>
      </c>
      <c r="H41" s="178">
        <f t="shared" si="9"/>
        <v>124720239</v>
      </c>
    </row>
    <row r="42" spans="1:8" s="72" customFormat="1">
      <c r="A42" s="166">
        <v>5328</v>
      </c>
      <c r="B42" s="173" t="s">
        <v>188</v>
      </c>
      <c r="C42" s="152">
        <v>0</v>
      </c>
      <c r="D42" s="171">
        <v>25377500</v>
      </c>
      <c r="E42" s="168">
        <v>25773389</v>
      </c>
      <c r="F42" s="168">
        <v>26185763</v>
      </c>
      <c r="G42" s="168">
        <v>26596880</v>
      </c>
      <c r="H42" s="188">
        <f t="shared" si="9"/>
        <v>103933532</v>
      </c>
    </row>
    <row r="43" spans="1:8" s="72" customFormat="1">
      <c r="A43" s="166" t="s">
        <v>197</v>
      </c>
      <c r="B43" s="173"/>
      <c r="C43" s="152"/>
      <c r="D43" s="171">
        <v>2537750</v>
      </c>
      <c r="E43" s="172">
        <v>2577339</v>
      </c>
      <c r="F43" s="172">
        <v>2618576</v>
      </c>
      <c r="G43" s="172">
        <v>2659688</v>
      </c>
      <c r="H43" s="188">
        <f t="shared" si="9"/>
        <v>10393353</v>
      </c>
    </row>
    <row r="44" spans="1:8">
      <c r="A44" s="134">
        <v>5335</v>
      </c>
      <c r="B44" s="135" t="s">
        <v>12</v>
      </c>
      <c r="C44" s="137">
        <v>4000000</v>
      </c>
      <c r="D44" s="137">
        <v>4060400</v>
      </c>
      <c r="E44" s="137">
        <v>4123742</v>
      </c>
      <c r="F44" s="137">
        <v>4189722</v>
      </c>
      <c r="G44" s="137">
        <v>4255501</v>
      </c>
      <c r="H44" s="161">
        <f t="shared" si="9"/>
        <v>20629365</v>
      </c>
    </row>
    <row r="45" spans="1:8">
      <c r="A45" s="134">
        <v>5337</v>
      </c>
      <c r="B45" s="135" t="s">
        <v>13</v>
      </c>
      <c r="C45" s="137">
        <v>2683798368</v>
      </c>
      <c r="D45" s="137">
        <v>5366233728</v>
      </c>
      <c r="E45" s="137">
        <v>5460789084</v>
      </c>
      <c r="F45" s="137">
        <v>5560170578</v>
      </c>
      <c r="G45" s="137">
        <v>5660288417</v>
      </c>
      <c r="H45" s="161">
        <f t="shared" si="9"/>
        <v>24731280175</v>
      </c>
    </row>
    <row r="46" spans="1:8">
      <c r="A46" s="140">
        <v>5337</v>
      </c>
      <c r="B46" s="141" t="s">
        <v>14</v>
      </c>
      <c r="C46" s="152">
        <f>C45*0.9715</f>
        <v>2607310114.5120001</v>
      </c>
      <c r="D46" s="152">
        <f t="shared" ref="D46:G46" si="13">D45*0.9715</f>
        <v>5213296066.7519999</v>
      </c>
      <c r="E46" s="152">
        <f>E45*0.9715</f>
        <v>5305156595.1059999</v>
      </c>
      <c r="F46" s="152">
        <f t="shared" si="13"/>
        <v>5401705716.5270004</v>
      </c>
      <c r="G46" s="152">
        <f t="shared" si="13"/>
        <v>5498970197.1155005</v>
      </c>
      <c r="H46" s="163">
        <f t="shared" si="9"/>
        <v>24026438690.012501</v>
      </c>
    </row>
    <row r="47" spans="1:8">
      <c r="A47" s="140">
        <v>5337</v>
      </c>
      <c r="B47" s="141" t="s">
        <v>15</v>
      </c>
      <c r="C47" s="152">
        <f>C45*0.0285</f>
        <v>76488253.488000005</v>
      </c>
      <c r="D47" s="152">
        <f t="shared" ref="D47:G47" si="14">D45*0.0285</f>
        <v>152937661.248</v>
      </c>
      <c r="E47" s="152">
        <f t="shared" si="14"/>
        <v>155632488.89399999</v>
      </c>
      <c r="F47" s="152">
        <f t="shared" si="14"/>
        <v>158464861.47300002</v>
      </c>
      <c r="G47" s="152">
        <f t="shared" si="14"/>
        <v>161318219.8845</v>
      </c>
      <c r="H47" s="163">
        <f t="shared" si="9"/>
        <v>704841484.98750007</v>
      </c>
    </row>
    <row r="48" spans="1:8">
      <c r="A48" s="134">
        <v>5339</v>
      </c>
      <c r="B48" s="135" t="s">
        <v>16</v>
      </c>
      <c r="C48" s="137">
        <v>808653914.65569353</v>
      </c>
      <c r="D48" s="139">
        <f>D49+D53+D55</f>
        <v>2567408213</v>
      </c>
      <c r="E48" s="139">
        <f>E49+E53+E55</f>
        <v>2634415782</v>
      </c>
      <c r="F48" s="139">
        <f t="shared" ref="F48:G48" si="15">F49+F53+F55</f>
        <v>2732776594</v>
      </c>
      <c r="G48" s="139">
        <f t="shared" si="15"/>
        <v>2831025687</v>
      </c>
      <c r="H48" s="161">
        <f t="shared" si="9"/>
        <v>11574280190.655693</v>
      </c>
    </row>
    <row r="49" spans="1:8">
      <c r="A49" s="142">
        <v>5339</v>
      </c>
      <c r="B49" s="143" t="s">
        <v>167</v>
      </c>
      <c r="C49" s="152">
        <v>464609736.05569351</v>
      </c>
      <c r="D49" s="152">
        <v>1240328213</v>
      </c>
      <c r="E49" s="152">
        <v>1259667334</v>
      </c>
      <c r="F49" s="152">
        <v>1279832171</v>
      </c>
      <c r="G49" s="152">
        <v>1299925536</v>
      </c>
      <c r="H49" s="163">
        <f t="shared" si="9"/>
        <v>5544362990.0556936</v>
      </c>
    </row>
    <row r="50" spans="1:8">
      <c r="A50" s="146">
        <v>5339</v>
      </c>
      <c r="B50" s="148" t="s">
        <v>28</v>
      </c>
      <c r="C50" s="152">
        <v>374109736.05569351</v>
      </c>
      <c r="D50" s="152">
        <v>897528981.04999995</v>
      </c>
      <c r="E50" s="152">
        <v>913967233.89999998</v>
      </c>
      <c r="F50" s="152">
        <v>931107345.3499999</v>
      </c>
      <c r="G50" s="152">
        <v>948186705.5999999</v>
      </c>
      <c r="H50" s="163">
        <f t="shared" si="9"/>
        <v>4064900001.9556932</v>
      </c>
    </row>
    <row r="51" spans="1:8">
      <c r="A51" s="146">
        <v>5339</v>
      </c>
      <c r="B51" s="148" t="s">
        <v>168</v>
      </c>
      <c r="C51" s="156">
        <v>90500000</v>
      </c>
      <c r="D51" s="156">
        <v>156750000</v>
      </c>
      <c r="E51" s="156">
        <v>156750000</v>
      </c>
      <c r="F51" s="156">
        <v>156750000</v>
      </c>
      <c r="G51" s="156">
        <v>156750000</v>
      </c>
      <c r="H51" s="163">
        <f t="shared" si="9"/>
        <v>717500000</v>
      </c>
    </row>
    <row r="52" spans="1:8" s="72" customFormat="1">
      <c r="A52" s="166">
        <v>5339</v>
      </c>
      <c r="B52" s="173" t="s">
        <v>191</v>
      </c>
      <c r="C52" s="157"/>
      <c r="D52" s="177">
        <f>0.15*D49</f>
        <v>186049231.94999999</v>
      </c>
      <c r="E52" s="177">
        <f>0.15*E49</f>
        <v>188950100.09999999</v>
      </c>
      <c r="F52" s="177">
        <f>0.15*F49</f>
        <v>191974825.65000001</v>
      </c>
      <c r="G52" s="177">
        <f>0.15*G49</f>
        <v>194988830.40000001</v>
      </c>
      <c r="H52" s="179">
        <f t="shared" si="9"/>
        <v>761962988.0999999</v>
      </c>
    </row>
    <row r="53" spans="1:8">
      <c r="A53" s="169">
        <v>5339</v>
      </c>
      <c r="B53" s="170" t="s">
        <v>190</v>
      </c>
      <c r="C53" s="152">
        <v>289044178.60000002</v>
      </c>
      <c r="D53" s="152">
        <v>437080000</v>
      </c>
      <c r="E53" s="152">
        <v>424748448</v>
      </c>
      <c r="F53" s="152">
        <v>387944423</v>
      </c>
      <c r="G53" s="152">
        <v>351100151</v>
      </c>
      <c r="H53" s="163">
        <f t="shared" si="9"/>
        <v>1889917200.5999999</v>
      </c>
    </row>
    <row r="54" spans="1:8">
      <c r="A54" s="182">
        <v>5339</v>
      </c>
      <c r="B54" s="174" t="s">
        <v>104</v>
      </c>
      <c r="C54" s="202">
        <v>55000000</v>
      </c>
      <c r="D54" s="157"/>
      <c r="E54" s="157"/>
      <c r="F54" s="157"/>
      <c r="G54" s="157"/>
      <c r="H54" s="163"/>
    </row>
    <row r="55" spans="1:8" s="72" customFormat="1">
      <c r="A55" s="166">
        <v>5339</v>
      </c>
      <c r="B55" s="173" t="s">
        <v>189</v>
      </c>
      <c r="C55" s="157"/>
      <c r="D55" s="175">
        <v>890000000</v>
      </c>
      <c r="E55" s="175">
        <v>950000000</v>
      </c>
      <c r="F55" s="176">
        <v>1065000000</v>
      </c>
      <c r="G55" s="175">
        <v>1180000000</v>
      </c>
      <c r="H55" s="179">
        <f t="shared" ref="H55:H60" si="16">SUM(C55,D55,E55,F55,G55)</f>
        <v>4085000000</v>
      </c>
    </row>
    <row r="56" spans="1:8">
      <c r="A56" s="134">
        <v>5340</v>
      </c>
      <c r="B56" s="135" t="s">
        <v>169</v>
      </c>
      <c r="C56" s="137">
        <v>570032917</v>
      </c>
      <c r="D56" s="137">
        <v>587133905</v>
      </c>
      <c r="E56" s="137">
        <v>587133905</v>
      </c>
      <c r="F56" s="155">
        <v>587133905</v>
      </c>
      <c r="G56" s="139">
        <v>587133905</v>
      </c>
      <c r="H56" s="161">
        <f t="shared" si="16"/>
        <v>2918568537</v>
      </c>
    </row>
    <row r="57" spans="1:8">
      <c r="A57" s="142">
        <v>5340</v>
      </c>
      <c r="B57" s="143" t="s">
        <v>18</v>
      </c>
      <c r="C57" s="152">
        <v>300668843</v>
      </c>
      <c r="D57" s="152">
        <v>309688908</v>
      </c>
      <c r="E57" s="152">
        <v>309688908</v>
      </c>
      <c r="F57" s="152">
        <v>309688908</v>
      </c>
      <c r="G57" s="152">
        <v>309688908</v>
      </c>
      <c r="H57" s="163">
        <f t="shared" si="16"/>
        <v>1539424475</v>
      </c>
    </row>
    <row r="58" spans="1:8">
      <c r="A58" s="142">
        <v>5340</v>
      </c>
      <c r="B58" s="143" t="s">
        <v>17</v>
      </c>
      <c r="C58" s="152">
        <v>269364074</v>
      </c>
      <c r="D58" s="152">
        <v>277444997</v>
      </c>
      <c r="E58" s="152">
        <v>277444997</v>
      </c>
      <c r="F58" s="152">
        <v>277444997</v>
      </c>
      <c r="G58" s="152">
        <v>277444997</v>
      </c>
      <c r="H58" s="163">
        <f t="shared" si="16"/>
        <v>1379144062</v>
      </c>
    </row>
    <row r="59" spans="1:8" s="72" customFormat="1">
      <c r="A59" s="142"/>
      <c r="B59" s="135" t="s">
        <v>202</v>
      </c>
      <c r="C59" s="137">
        <v>1000000000</v>
      </c>
      <c r="D59" s="152"/>
      <c r="E59" s="152"/>
      <c r="F59" s="152"/>
      <c r="G59" s="152"/>
      <c r="H59" s="161">
        <f t="shared" si="16"/>
        <v>1000000000</v>
      </c>
    </row>
    <row r="60" spans="1:8" s="72" customFormat="1">
      <c r="A60" s="142"/>
      <c r="B60" s="135" t="s">
        <v>203</v>
      </c>
      <c r="C60" s="137">
        <v>1000000000</v>
      </c>
      <c r="D60" s="152"/>
      <c r="E60" s="152"/>
      <c r="F60" s="152"/>
      <c r="G60" s="152"/>
      <c r="H60" s="161">
        <f t="shared" si="16"/>
        <v>1000000000</v>
      </c>
    </row>
    <row r="61" spans="1:8">
      <c r="A61" s="205" t="s">
        <v>137</v>
      </c>
      <c r="B61" s="205"/>
      <c r="C61" s="206"/>
      <c r="D61" s="206"/>
      <c r="E61" s="206"/>
      <c r="F61" s="206"/>
      <c r="G61" s="206"/>
      <c r="H61" s="207"/>
    </row>
    <row r="62" spans="1:8">
      <c r="A62" s="140">
        <v>5309</v>
      </c>
      <c r="B62" s="150" t="s">
        <v>20</v>
      </c>
      <c r="C62" s="137">
        <v>3250000000</v>
      </c>
      <c r="D62" s="137">
        <v>3500000000</v>
      </c>
      <c r="E62" s="137">
        <v>4250000000</v>
      </c>
      <c r="F62" s="137">
        <v>5000000000</v>
      </c>
      <c r="G62" s="137">
        <v>5500000000</v>
      </c>
      <c r="H62" s="161">
        <f t="shared" ref="H62:H67" si="17">SUM(C62,D62,E62,F62,G62)</f>
        <v>21500000000</v>
      </c>
    </row>
    <row r="63" spans="1:8">
      <c r="A63" s="140">
        <v>5312</v>
      </c>
      <c r="B63" s="150" t="s">
        <v>170</v>
      </c>
      <c r="C63" s="137"/>
      <c r="D63" s="137">
        <v>0</v>
      </c>
      <c r="E63" s="137">
        <v>0</v>
      </c>
      <c r="F63" s="137">
        <v>0</v>
      </c>
      <c r="G63" s="137">
        <v>0</v>
      </c>
      <c r="H63" s="161">
        <f t="shared" si="17"/>
        <v>0</v>
      </c>
    </row>
    <row r="64" spans="1:8">
      <c r="A64" s="140">
        <v>5314</v>
      </c>
      <c r="B64" s="150" t="s">
        <v>171</v>
      </c>
      <c r="C64" s="137"/>
      <c r="D64" s="137">
        <v>0</v>
      </c>
      <c r="E64" s="137">
        <v>0</v>
      </c>
      <c r="F64" s="137">
        <v>0</v>
      </c>
      <c r="G64" s="137">
        <v>0</v>
      </c>
      <c r="H64" s="161">
        <f t="shared" si="17"/>
        <v>0</v>
      </c>
    </row>
    <row r="65" spans="1:8">
      <c r="A65" s="140">
        <v>5334</v>
      </c>
      <c r="B65" s="150" t="s">
        <v>19</v>
      </c>
      <c r="C65" s="137">
        <v>131500000</v>
      </c>
      <c r="D65" s="137">
        <v>142060785</v>
      </c>
      <c r="E65" s="137">
        <v>144191696</v>
      </c>
      <c r="F65" s="137">
        <v>146412248</v>
      </c>
      <c r="G65" s="137">
        <v>148652356</v>
      </c>
      <c r="H65" s="161">
        <f t="shared" si="17"/>
        <v>712817085</v>
      </c>
    </row>
    <row r="66" spans="1:8">
      <c r="A66" s="140">
        <v>5329</v>
      </c>
      <c r="B66" s="150" t="s">
        <v>172</v>
      </c>
      <c r="C66" s="152"/>
      <c r="D66" s="152">
        <v>6000000</v>
      </c>
      <c r="E66" s="152">
        <v>6000000</v>
      </c>
      <c r="F66" s="152">
        <v>6000000</v>
      </c>
      <c r="G66" s="152">
        <v>6000000</v>
      </c>
      <c r="H66" s="163">
        <f t="shared" si="17"/>
        <v>24000000</v>
      </c>
    </row>
    <row r="67" spans="1:8">
      <c r="A67" s="140">
        <v>5326</v>
      </c>
      <c r="B67" s="150" t="s">
        <v>120</v>
      </c>
      <c r="C67" s="152"/>
      <c r="D67" s="152">
        <v>2500000</v>
      </c>
      <c r="E67" s="152">
        <v>2500000</v>
      </c>
      <c r="F67" s="152">
        <v>2500000</v>
      </c>
      <c r="G67" s="152">
        <v>2500000</v>
      </c>
      <c r="H67" s="163">
        <f t="shared" si="17"/>
        <v>10000000</v>
      </c>
    </row>
    <row r="68" spans="1:8" s="72" customFormat="1">
      <c r="A68" s="140"/>
      <c r="B68" s="145" t="s">
        <v>159</v>
      </c>
      <c r="C68" s="137"/>
      <c r="D68" s="152"/>
      <c r="E68" s="152"/>
      <c r="F68" s="152"/>
      <c r="G68" s="152"/>
      <c r="H68" s="163"/>
    </row>
    <row r="69" spans="1:8" s="72" customFormat="1">
      <c r="A69" s="140"/>
      <c r="B69" s="145" t="s">
        <v>7</v>
      </c>
      <c r="C69" s="137"/>
      <c r="D69" s="152"/>
      <c r="E69" s="152"/>
      <c r="F69" s="152"/>
      <c r="G69" s="152"/>
      <c r="H69" s="163"/>
    </row>
    <row r="70" spans="1:8" s="72" customFormat="1">
      <c r="A70" s="140"/>
      <c r="B70" s="145" t="s">
        <v>8</v>
      </c>
      <c r="C70" s="137"/>
      <c r="D70" s="152"/>
      <c r="E70" s="152"/>
      <c r="F70" s="152"/>
      <c r="G70" s="152"/>
      <c r="H70" s="163"/>
    </row>
    <row r="71" spans="1:8" s="72" customFormat="1">
      <c r="A71" s="140"/>
      <c r="B71" s="145" t="s">
        <v>169</v>
      </c>
      <c r="C71" s="137"/>
      <c r="D71" s="152"/>
      <c r="E71" s="152"/>
      <c r="F71" s="152"/>
      <c r="G71" s="152"/>
      <c r="H71" s="163"/>
    </row>
    <row r="72" spans="1:8" s="72" customFormat="1">
      <c r="A72" s="140"/>
      <c r="B72" s="191" t="s">
        <v>18</v>
      </c>
      <c r="C72" s="152"/>
      <c r="D72" s="152"/>
      <c r="E72" s="152"/>
      <c r="F72" s="152"/>
      <c r="G72" s="152"/>
      <c r="H72" s="163"/>
    </row>
    <row r="73" spans="1:8" s="72" customFormat="1">
      <c r="A73" s="140"/>
      <c r="B73" s="191" t="s">
        <v>17</v>
      </c>
      <c r="C73" s="152"/>
      <c r="D73" s="152"/>
      <c r="E73" s="152"/>
      <c r="F73" s="152"/>
      <c r="G73" s="152"/>
      <c r="H73" s="163"/>
    </row>
    <row r="74" spans="1:8" s="72" customFormat="1">
      <c r="A74" s="140"/>
      <c r="B74" s="209" t="s">
        <v>205</v>
      </c>
      <c r="C74" s="144">
        <v>20000000</v>
      </c>
      <c r="D74" s="144">
        <v>20000000</v>
      </c>
      <c r="E74" s="144">
        <v>20000000</v>
      </c>
      <c r="F74" s="144">
        <v>20000000</v>
      </c>
      <c r="G74" s="144">
        <v>20000000</v>
      </c>
      <c r="H74" s="187">
        <f>SUM(C74:G74)</f>
        <v>100000000</v>
      </c>
    </row>
    <row r="75" spans="1:8">
      <c r="A75" s="140"/>
      <c r="B75" s="210" t="s">
        <v>204</v>
      </c>
      <c r="C75" s="208">
        <v>150000000</v>
      </c>
      <c r="D75" s="208">
        <v>155000000</v>
      </c>
      <c r="E75" s="208">
        <v>160000000</v>
      </c>
      <c r="F75" s="208">
        <v>165000000</v>
      </c>
      <c r="G75" s="208">
        <v>170000000</v>
      </c>
      <c r="H75" s="161">
        <f>SUM(C75:G75)</f>
        <v>800000000</v>
      </c>
    </row>
    <row r="76" spans="1:8">
      <c r="A76" s="159"/>
      <c r="B76" s="145" t="s">
        <v>174</v>
      </c>
      <c r="C76" s="136">
        <f>SUM(C62,C63,C64,C65,C74,C75)</f>
        <v>3551500000</v>
      </c>
      <c r="D76" s="136">
        <f>D62+D65+D74+D75</f>
        <v>3817060785</v>
      </c>
      <c r="E76" s="136">
        <f>E62+E65+E74+E75</f>
        <v>4574191696</v>
      </c>
      <c r="F76" s="136">
        <f>F62+F65+F74+F75</f>
        <v>5331412248</v>
      </c>
      <c r="G76" s="136">
        <f>G62+G65+G74+G75</f>
        <v>5838652356</v>
      </c>
      <c r="H76" s="161">
        <f>H62+H65+H74+H75</f>
        <v>23112817085</v>
      </c>
    </row>
    <row r="77" spans="1:8" s="164" customFormat="1">
      <c r="H77" s="201">
        <f>H76+H4</f>
        <v>108812817084.6557</v>
      </c>
    </row>
    <row r="78" spans="1:8">
      <c r="D78" s="73"/>
      <c r="H78" s="164"/>
    </row>
    <row r="79" spans="1:8">
      <c r="B79" s="198"/>
      <c r="C79" s="153"/>
      <c r="D79" s="73"/>
      <c r="E79" s="73"/>
      <c r="F79" s="73"/>
      <c r="G79" s="73"/>
      <c r="H79" s="153"/>
    </row>
    <row r="80" spans="1:8">
      <c r="D80" s="73"/>
      <c r="H80" s="72"/>
    </row>
    <row r="81" spans="3:8">
      <c r="C81" s="153"/>
      <c r="D81" s="192"/>
      <c r="H81" s="72"/>
    </row>
    <row r="82" spans="3:8">
      <c r="D82" s="73"/>
      <c r="H82" s="72"/>
    </row>
  </sheetData>
  <mergeCells count="5">
    <mergeCell ref="A3:B3"/>
    <mergeCell ref="C3:F3"/>
    <mergeCell ref="A61:B61"/>
    <mergeCell ref="C61:H61"/>
    <mergeCell ref="G3:H3"/>
  </mergeCells>
  <pageMargins left="0.25" right="0.25" top="0.75" bottom="0.75" header="0.3" footer="0.3"/>
  <pageSetup paperSize="3" scale="60" fitToWidth="0" orientation="landscape" r:id="rId1"/>
  <headerFooter>
    <oddFooter>&amp;L&amp;"-,Italic"&amp;10
Disclaimer: This technical drafting assistance is provided in response to a Congressional request and is not intended to reflect the viewpoint or policies of any element of the Department of Transportation or the Administration.</oddFooter>
  </headerFooter>
  <ignoredErrors>
    <ignoredError sqref="E52 F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7"/>
  <sheetViews>
    <sheetView topLeftCell="A58" workbookViewId="0">
      <selection activeCell="A3" sqref="A3:XFD3"/>
    </sheetView>
  </sheetViews>
  <sheetFormatPr defaultRowHeight="15"/>
  <cols>
    <col min="1" max="1" width="29.140625" style="48" customWidth="1"/>
    <col min="2" max="2" width="13.140625" customWidth="1"/>
    <col min="3" max="3" width="16.85546875" customWidth="1"/>
    <col min="4" max="4" width="15.85546875" customWidth="1"/>
    <col min="5" max="5" width="17.140625" customWidth="1"/>
    <col min="6" max="6" width="14.85546875" customWidth="1"/>
    <col min="7" max="7" width="15.42578125" customWidth="1"/>
    <col min="8" max="8" width="14.85546875" customWidth="1"/>
  </cols>
  <sheetData>
    <row r="1" spans="1:8">
      <c r="A1"/>
      <c r="B1" s="73"/>
      <c r="C1" s="73"/>
      <c r="D1" s="73"/>
      <c r="E1" s="73"/>
      <c r="F1" s="73"/>
      <c r="G1" s="73"/>
      <c r="H1" s="73"/>
    </row>
    <row r="2" spans="1:8">
      <c r="A2"/>
      <c r="B2" s="73"/>
      <c r="C2" s="73"/>
      <c r="D2" s="73"/>
      <c r="E2" s="73"/>
      <c r="F2" s="73"/>
      <c r="G2" s="73"/>
      <c r="H2" s="73"/>
    </row>
    <row r="3" spans="1:8" ht="18.75">
      <c r="A3"/>
      <c r="B3" s="108" t="s">
        <v>139</v>
      </c>
      <c r="C3" s="107"/>
      <c r="D3" s="73"/>
      <c r="E3" s="73"/>
      <c r="F3" s="73"/>
      <c r="G3" s="73"/>
      <c r="H3" s="73"/>
    </row>
    <row r="4" spans="1:8">
      <c r="B4" s="24"/>
      <c r="C4" s="73"/>
      <c r="D4" s="73"/>
      <c r="E4" s="73"/>
      <c r="F4" s="73"/>
      <c r="G4" s="73"/>
      <c r="H4" s="73"/>
    </row>
    <row r="5" spans="1:8">
      <c r="A5" s="24"/>
      <c r="B5" s="73"/>
      <c r="C5" s="73"/>
      <c r="D5" s="73"/>
      <c r="E5" s="73"/>
      <c r="F5" s="73"/>
      <c r="G5" s="73"/>
      <c r="H5" s="73"/>
    </row>
    <row r="6" spans="1:8">
      <c r="B6" s="73"/>
      <c r="C6" s="73"/>
      <c r="D6" s="73"/>
      <c r="E6" s="73"/>
      <c r="F6" s="73"/>
      <c r="G6" s="73"/>
      <c r="H6" s="73"/>
    </row>
    <row r="7" spans="1:8">
      <c r="A7" s="24"/>
      <c r="B7" s="73"/>
      <c r="C7" s="73"/>
      <c r="D7" s="73"/>
      <c r="E7" s="73"/>
      <c r="F7" s="73"/>
      <c r="G7" s="73"/>
      <c r="H7" s="73"/>
    </row>
    <row r="8" spans="1:8">
      <c r="A8" s="25"/>
      <c r="B8" s="73"/>
      <c r="C8" s="73"/>
      <c r="D8" s="73"/>
      <c r="E8" s="73"/>
      <c r="F8" s="73"/>
      <c r="G8" s="73"/>
      <c r="H8" s="73"/>
    </row>
    <row r="9" spans="1:8" ht="15.75" thickBot="1">
      <c r="A9" s="104" t="s">
        <v>35</v>
      </c>
      <c r="B9" s="105" t="s">
        <v>126</v>
      </c>
      <c r="C9" s="105" t="s">
        <v>127</v>
      </c>
      <c r="D9" s="105" t="s">
        <v>128</v>
      </c>
      <c r="E9" s="105" t="s">
        <v>129</v>
      </c>
      <c r="F9" s="105" t="s">
        <v>130</v>
      </c>
      <c r="G9" s="105" t="s">
        <v>131</v>
      </c>
      <c r="H9" s="105" t="s">
        <v>132</v>
      </c>
    </row>
    <row r="10" spans="1:8">
      <c r="A10" s="109" t="s">
        <v>92</v>
      </c>
      <c r="B10" s="106">
        <v>52838746.309576377</v>
      </c>
      <c r="C10" s="106">
        <v>53056244.294747703</v>
      </c>
      <c r="D10" s="106">
        <v>53144259.822080992</v>
      </c>
      <c r="E10" s="106">
        <v>54163184.990918815</v>
      </c>
      <c r="F10" s="106">
        <v>55141601.83681751</v>
      </c>
      <c r="G10" s="106">
        <v>56205408.12268576</v>
      </c>
      <c r="H10" s="106">
        <v>57270499.204164356</v>
      </c>
    </row>
    <row r="11" spans="1:8">
      <c r="A11" s="109" t="s">
        <v>36</v>
      </c>
      <c r="B11" s="106">
        <v>44509181.111939318</v>
      </c>
      <c r="C11" s="106">
        <v>46379257.30143103</v>
      </c>
      <c r="D11" s="106">
        <v>46749765.747379795</v>
      </c>
      <c r="E11" s="106">
        <v>47691306.104035944</v>
      </c>
      <c r="F11" s="106">
        <v>48561173.154461592</v>
      </c>
      <c r="G11" s="106">
        <v>49543483.122313991</v>
      </c>
      <c r="H11" s="106">
        <v>50526982.256926849</v>
      </c>
    </row>
    <row r="12" spans="1:8">
      <c r="A12" s="109" t="s">
        <v>37</v>
      </c>
      <c r="B12" s="106">
        <v>825834.44998067222</v>
      </c>
      <c r="C12" s="106">
        <v>826013.16582843661</v>
      </c>
      <c r="D12" s="106">
        <v>826228.36280690227</v>
      </c>
      <c r="E12" s="106">
        <v>833343.4259763055</v>
      </c>
      <c r="F12" s="106">
        <v>840495.86241659743</v>
      </c>
      <c r="G12" s="106">
        <v>847930.98093973729</v>
      </c>
      <c r="H12" s="106">
        <v>855375.22065085475</v>
      </c>
    </row>
    <row r="13" spans="1:8">
      <c r="A13" s="109" t="s">
        <v>38</v>
      </c>
      <c r="B13" s="106">
        <v>107526626.92416336</v>
      </c>
      <c r="C13" s="106">
        <v>108160190.05200696</v>
      </c>
      <c r="D13" s="106">
        <v>108343582.38289608</v>
      </c>
      <c r="E13" s="106">
        <v>110636693.73147587</v>
      </c>
      <c r="F13" s="106">
        <v>113015176.0760431</v>
      </c>
      <c r="G13" s="106">
        <v>115447846.2766427</v>
      </c>
      <c r="H13" s="106">
        <v>117849168.4404365</v>
      </c>
    </row>
    <row r="14" spans="1:8">
      <c r="A14" s="109" t="s">
        <v>39</v>
      </c>
      <c r="B14" s="106">
        <v>30744550.881246865</v>
      </c>
      <c r="C14" s="106">
        <v>30865993.565515801</v>
      </c>
      <c r="D14" s="106">
        <v>30922313.27242912</v>
      </c>
      <c r="E14" s="106">
        <v>31566582.928929273</v>
      </c>
      <c r="F14" s="106">
        <v>32152451.494768109</v>
      </c>
      <c r="G14" s="106">
        <v>32824428.20926553</v>
      </c>
      <c r="H14" s="106">
        <v>33497217.70969544</v>
      </c>
    </row>
    <row r="15" spans="1:8">
      <c r="A15" s="109" t="s">
        <v>93</v>
      </c>
      <c r="B15" s="106">
        <v>1253984979.867434</v>
      </c>
      <c r="C15" s="106">
        <v>1263344000.8479643</v>
      </c>
      <c r="D15" s="106">
        <v>1270230558.5781779</v>
      </c>
      <c r="E15" s="106">
        <v>1297177539.0436523</v>
      </c>
      <c r="F15" s="106">
        <v>1324199204.1789398</v>
      </c>
      <c r="G15" s="106">
        <v>1352567452.7713432</v>
      </c>
      <c r="H15" s="106">
        <v>1380762946.80514</v>
      </c>
    </row>
    <row r="16" spans="1:8">
      <c r="A16" s="109" t="s">
        <v>40</v>
      </c>
      <c r="B16" s="106">
        <v>111531890.7196829</v>
      </c>
      <c r="C16" s="106">
        <v>112249276.0614689</v>
      </c>
      <c r="D16" s="106">
        <v>112582056.65987954</v>
      </c>
      <c r="E16" s="106">
        <v>114975438.97599021</v>
      </c>
      <c r="F16" s="106">
        <v>117682525.79745418</v>
      </c>
      <c r="G16" s="106">
        <v>120202506.71493855</v>
      </c>
      <c r="H16" s="106">
        <v>122712971.50345129</v>
      </c>
    </row>
    <row r="17" spans="1:8">
      <c r="A17" s="109" t="s">
        <v>94</v>
      </c>
      <c r="B17" s="106">
        <v>157663158.95948723</v>
      </c>
      <c r="C17" s="106">
        <v>133174333.19794536</v>
      </c>
      <c r="D17" s="106">
        <v>134165105.08664294</v>
      </c>
      <c r="E17" s="106">
        <v>136944322.69222462</v>
      </c>
      <c r="F17" s="106">
        <v>140176801.23890713</v>
      </c>
      <c r="G17" s="106">
        <v>143102943.52585134</v>
      </c>
      <c r="H17" s="106">
        <v>146019904.05972749</v>
      </c>
    </row>
    <row r="18" spans="1:8">
      <c r="A18" s="109" t="s">
        <v>41</v>
      </c>
      <c r="B18" s="106">
        <v>24593443.547752906</v>
      </c>
      <c r="C18" s="106">
        <v>19701601.08335413</v>
      </c>
      <c r="D18" s="106">
        <v>19720993.651777964</v>
      </c>
      <c r="E18" s="106">
        <v>20115593.652963452</v>
      </c>
      <c r="F18" s="106">
        <v>20592704.123229664</v>
      </c>
      <c r="G18" s="106">
        <v>21006695.646263883</v>
      </c>
      <c r="H18" s="106">
        <v>21421187.893239405</v>
      </c>
    </row>
    <row r="19" spans="1:8">
      <c r="A19" s="109" t="s">
        <v>42</v>
      </c>
      <c r="B19" s="106">
        <v>168198179.36634091</v>
      </c>
      <c r="C19" s="106">
        <v>177974452.13359243</v>
      </c>
      <c r="D19" s="106">
        <v>180710617.64106476</v>
      </c>
      <c r="E19" s="106">
        <v>184392153.57657197</v>
      </c>
      <c r="F19" s="106">
        <v>187916018.44410217</v>
      </c>
      <c r="G19" s="106">
        <v>191829413.67027178</v>
      </c>
      <c r="H19" s="106">
        <v>195678927.5682168</v>
      </c>
    </row>
    <row r="20" spans="1:8">
      <c r="A20" s="109" t="s">
        <v>43</v>
      </c>
      <c r="B20" s="106">
        <v>360848078.34133577</v>
      </c>
      <c r="C20" s="106">
        <v>363235893.59976244</v>
      </c>
      <c r="D20" s="106">
        <v>364420371.22161031</v>
      </c>
      <c r="E20" s="106">
        <v>372238410.16246206</v>
      </c>
      <c r="F20" s="106">
        <v>379236519.53895432</v>
      </c>
      <c r="G20" s="106">
        <v>387405948.63922048</v>
      </c>
      <c r="H20" s="106">
        <v>395568028.41573614</v>
      </c>
    </row>
    <row r="21" spans="1:8">
      <c r="A21" s="109" t="s">
        <v>44</v>
      </c>
      <c r="B21" s="106">
        <v>174055050.96458936</v>
      </c>
      <c r="C21" s="106">
        <v>175256775.96545306</v>
      </c>
      <c r="D21" s="106">
        <v>176187510.89373237</v>
      </c>
      <c r="E21" s="106">
        <v>179896262.8714695</v>
      </c>
      <c r="F21" s="106">
        <v>183817174.98643452</v>
      </c>
      <c r="G21" s="106">
        <v>187742864.07247469</v>
      </c>
      <c r="H21" s="106">
        <v>191627955.85713208</v>
      </c>
    </row>
    <row r="22" spans="1:8">
      <c r="A22" s="109" t="s">
        <v>45</v>
      </c>
      <c r="B22" s="106">
        <v>1353129.7784506138</v>
      </c>
      <c r="C22" s="106">
        <v>1353806.3948297384</v>
      </c>
      <c r="D22" s="106">
        <v>1354621.1283542095</v>
      </c>
      <c r="E22" s="106">
        <v>1373261.0020739255</v>
      </c>
      <c r="F22" s="106">
        <v>1391998.7563684215</v>
      </c>
      <c r="G22" s="106">
        <v>1411477.1210949346</v>
      </c>
      <c r="H22" s="106">
        <v>1430979.3261169051</v>
      </c>
    </row>
    <row r="23" spans="1:8">
      <c r="A23" s="109" t="s">
        <v>46</v>
      </c>
      <c r="B23" s="106">
        <v>41053995.820903264</v>
      </c>
      <c r="C23" s="106">
        <v>41321584.027753703</v>
      </c>
      <c r="D23" s="106">
        <v>41380969.841576546</v>
      </c>
      <c r="E23" s="106">
        <v>42264251.460190997</v>
      </c>
      <c r="F23" s="106">
        <v>43527870.054743879</v>
      </c>
      <c r="G23" s="106">
        <v>44472551.371944308</v>
      </c>
      <c r="H23" s="106">
        <v>45404662.992633246</v>
      </c>
    </row>
    <row r="24" spans="1:8">
      <c r="A24" s="109" t="s">
        <v>47</v>
      </c>
      <c r="B24" s="106">
        <v>23242375.640375413</v>
      </c>
      <c r="C24" s="106">
        <v>23329560.401081339</v>
      </c>
      <c r="D24" s="106">
        <v>23359579.526814017</v>
      </c>
      <c r="E24" s="106">
        <v>23818790.160298135</v>
      </c>
      <c r="F24" s="106">
        <v>24229819.721111923</v>
      </c>
      <c r="G24" s="106">
        <v>24708642.64309974</v>
      </c>
      <c r="H24" s="106">
        <v>25188046.445247862</v>
      </c>
    </row>
    <row r="25" spans="1:8">
      <c r="A25" s="109" t="s">
        <v>95</v>
      </c>
      <c r="B25" s="106">
        <v>537023177.96849132</v>
      </c>
      <c r="C25" s="106">
        <v>541325374.13554466</v>
      </c>
      <c r="D25" s="106">
        <v>545530004.73040366</v>
      </c>
      <c r="E25" s="106">
        <v>556896863.57681143</v>
      </c>
      <c r="F25" s="106">
        <v>568248022.57694077</v>
      </c>
      <c r="G25" s="106">
        <v>580124475.91700172</v>
      </c>
      <c r="H25" s="106">
        <v>592015241.22413921</v>
      </c>
    </row>
    <row r="26" spans="1:8">
      <c r="A26" s="109" t="s">
        <v>48</v>
      </c>
      <c r="B26" s="106">
        <v>87621924.115436286</v>
      </c>
      <c r="C26" s="106">
        <v>88137068.724438891</v>
      </c>
      <c r="D26" s="106">
        <v>88298362.875221729</v>
      </c>
      <c r="E26" s="106">
        <v>90174664.199306324</v>
      </c>
      <c r="F26" s="106">
        <v>92531208.890327051</v>
      </c>
      <c r="G26" s="106">
        <v>94501529.591873452</v>
      </c>
      <c r="H26" s="106">
        <v>96474230.71697928</v>
      </c>
    </row>
    <row r="27" spans="1:8">
      <c r="A27" s="109" t="s">
        <v>49</v>
      </c>
      <c r="B27" s="106">
        <v>38625979.515492029</v>
      </c>
      <c r="C27" s="106">
        <v>38835429.574355096</v>
      </c>
      <c r="D27" s="106">
        <v>38888713.22120405</v>
      </c>
      <c r="E27" s="106">
        <v>39707456.796561599</v>
      </c>
      <c r="F27" s="106">
        <v>41162826.701594733</v>
      </c>
      <c r="G27" s="106">
        <v>42031362.155229464</v>
      </c>
      <c r="H27" s="106">
        <v>42900948.449068531</v>
      </c>
    </row>
    <row r="28" spans="1:8">
      <c r="A28" s="109" t="s">
        <v>50</v>
      </c>
      <c r="B28" s="106">
        <v>34721200.398984671</v>
      </c>
      <c r="C28" s="106">
        <v>34879967.32134454</v>
      </c>
      <c r="D28" s="106">
        <v>34927077.088250615</v>
      </c>
      <c r="E28" s="106">
        <v>35657772.536378808</v>
      </c>
      <c r="F28" s="106">
        <v>36511455.682704143</v>
      </c>
      <c r="G28" s="106">
        <v>37277454.021500476</v>
      </c>
      <c r="H28" s="106">
        <v>38044380.457941763</v>
      </c>
    </row>
    <row r="29" spans="1:8">
      <c r="A29" s="109" t="s">
        <v>51</v>
      </c>
      <c r="B29" s="106">
        <v>51536662.564613424</v>
      </c>
      <c r="C29" s="106">
        <v>51759175.556505427</v>
      </c>
      <c r="D29" s="106">
        <v>51834099.524255604</v>
      </c>
      <c r="E29" s="106">
        <v>52897683.687615231</v>
      </c>
      <c r="F29" s="106">
        <v>53979391.884534411</v>
      </c>
      <c r="G29" s="106">
        <v>55091063.243069574</v>
      </c>
      <c r="H29" s="106">
        <v>56204079.80646155</v>
      </c>
    </row>
    <row r="30" spans="1:8">
      <c r="A30" s="109" t="s">
        <v>52</v>
      </c>
      <c r="B30" s="106">
        <v>59629607.262254879</v>
      </c>
      <c r="C30" s="106">
        <v>59952674.209669381</v>
      </c>
      <c r="D30" s="106">
        <v>60111782.876221195</v>
      </c>
      <c r="E30" s="106">
        <v>61384893.752679802</v>
      </c>
      <c r="F30" s="106">
        <v>62490560.067041241</v>
      </c>
      <c r="G30" s="106">
        <v>63823216.066022262</v>
      </c>
      <c r="H30" s="106">
        <v>65151722.655232295</v>
      </c>
    </row>
    <row r="31" spans="1:8">
      <c r="A31" s="109" t="s">
        <v>53</v>
      </c>
      <c r="B31" s="106">
        <v>30348164.891637016</v>
      </c>
      <c r="C31" s="106">
        <v>30529097.18549427</v>
      </c>
      <c r="D31" s="106">
        <v>30675575.353807285</v>
      </c>
      <c r="E31" s="106">
        <v>31292446.932597049</v>
      </c>
      <c r="F31" s="106">
        <v>32049325.122853339</v>
      </c>
      <c r="G31" s="106">
        <v>32696742.415660899</v>
      </c>
      <c r="H31" s="106">
        <v>33344943.339681637</v>
      </c>
    </row>
    <row r="32" spans="1:8">
      <c r="A32" s="109" t="s">
        <v>54</v>
      </c>
      <c r="B32" s="106">
        <v>230324428.92788523</v>
      </c>
      <c r="C32" s="106">
        <v>197207071.97390661</v>
      </c>
      <c r="D32" s="106">
        <v>198267006.49716806</v>
      </c>
      <c r="E32" s="106">
        <v>202411843.03939506</v>
      </c>
      <c r="F32" s="106">
        <v>206081597.40489733</v>
      </c>
      <c r="G32" s="106">
        <v>210402612.83498797</v>
      </c>
      <c r="H32" s="106">
        <v>214728839.29992723</v>
      </c>
    </row>
    <row r="33" spans="1:8">
      <c r="A33" s="109" t="s">
        <v>55</v>
      </c>
      <c r="B33" s="106">
        <v>339311760.67416304</v>
      </c>
      <c r="C33" s="106">
        <v>292565244.88625824</v>
      </c>
      <c r="D33" s="106">
        <v>294889555.06483507</v>
      </c>
      <c r="E33" s="106">
        <v>301011209.64677376</v>
      </c>
      <c r="F33" s="106">
        <v>306690040.63908005</v>
      </c>
      <c r="G33" s="106">
        <v>313077917.21936625</v>
      </c>
      <c r="H33" s="106">
        <v>319472808.55575651</v>
      </c>
    </row>
    <row r="34" spans="1:8">
      <c r="A34" s="109" t="s">
        <v>56</v>
      </c>
      <c r="B34" s="106">
        <v>131602214.7955853</v>
      </c>
      <c r="C34" s="106">
        <v>132349716.66642269</v>
      </c>
      <c r="D34" s="106">
        <v>132574671.18720037</v>
      </c>
      <c r="E34" s="106">
        <v>135434772.38036293</v>
      </c>
      <c r="F34" s="106">
        <v>138491587.00149956</v>
      </c>
      <c r="G34" s="106">
        <v>141484020.65243867</v>
      </c>
      <c r="H34" s="106">
        <v>144480069.03943613</v>
      </c>
    </row>
    <row r="35" spans="1:8">
      <c r="A35" s="109" t="s">
        <v>57</v>
      </c>
      <c r="B35" s="106">
        <v>101583604.72167662</v>
      </c>
      <c r="C35" s="106">
        <v>102238037.83594202</v>
      </c>
      <c r="D35" s="106">
        <v>102550062.60989465</v>
      </c>
      <c r="E35" s="106">
        <v>104692419.03137529</v>
      </c>
      <c r="F35" s="106">
        <v>107221851.16413948</v>
      </c>
      <c r="G35" s="106">
        <v>109565344.91103749</v>
      </c>
      <c r="H35" s="106">
        <v>111816415.64060487</v>
      </c>
    </row>
    <row r="36" spans="1:8">
      <c r="A36" s="109" t="s">
        <v>58</v>
      </c>
      <c r="B36" s="106">
        <v>28244679.465637866</v>
      </c>
      <c r="C36" s="106">
        <v>28337598.430375438</v>
      </c>
      <c r="D36" s="106">
        <v>28379097.477408089</v>
      </c>
      <c r="E36" s="106">
        <v>28946471.046913415</v>
      </c>
      <c r="F36" s="106">
        <v>29612179.802544575</v>
      </c>
      <c r="G36" s="106">
        <v>30207026.948974986</v>
      </c>
      <c r="H36" s="106">
        <v>30802596.388919581</v>
      </c>
    </row>
    <row r="37" spans="1:8">
      <c r="A37" s="109" t="s">
        <v>59</v>
      </c>
      <c r="B37" s="106">
        <v>94320943.120430261</v>
      </c>
      <c r="C37" s="106">
        <v>94885118.248407364</v>
      </c>
      <c r="D37" s="106">
        <v>95265045.341230989</v>
      </c>
      <c r="E37" s="106">
        <v>97280996.200051188</v>
      </c>
      <c r="F37" s="106">
        <v>99402731.544755086</v>
      </c>
      <c r="G37" s="106">
        <v>101511612.5580588</v>
      </c>
      <c r="H37" s="106">
        <v>103622723.90548393</v>
      </c>
    </row>
    <row r="38" spans="1:8">
      <c r="A38" s="109" t="s">
        <v>96</v>
      </c>
      <c r="B38" s="106">
        <v>19129871.145465404</v>
      </c>
      <c r="C38" s="106">
        <v>19183050.728721716</v>
      </c>
      <c r="D38" s="106">
        <v>19200251.210763328</v>
      </c>
      <c r="E38" s="106">
        <v>19555678.863914363</v>
      </c>
      <c r="F38" s="106">
        <v>20095421.65602722</v>
      </c>
      <c r="G38" s="106">
        <v>20470576.366435755</v>
      </c>
      <c r="H38" s="106">
        <v>20846189.953511734</v>
      </c>
    </row>
    <row r="39" spans="1:8">
      <c r="A39" s="109" t="s">
        <v>60</v>
      </c>
      <c r="B39" s="106">
        <v>811989.63611457823</v>
      </c>
      <c r="C39" s="106">
        <v>812130.85367617453</v>
      </c>
      <c r="D39" s="106">
        <v>812300.89787819667</v>
      </c>
      <c r="E39" s="106">
        <v>819114.80072766286</v>
      </c>
      <c r="F39" s="106">
        <v>825964.49867945339</v>
      </c>
      <c r="G39" s="106">
        <v>833084.90724435193</v>
      </c>
      <c r="H39" s="106">
        <v>840214.05855287029</v>
      </c>
    </row>
    <row r="40" spans="1:8">
      <c r="A40" s="109" t="s">
        <v>61</v>
      </c>
      <c r="B40" s="106">
        <v>23591336.991966181</v>
      </c>
      <c r="C40" s="106">
        <v>23682757.855829883</v>
      </c>
      <c r="D40" s="106">
        <v>23711115.230655041</v>
      </c>
      <c r="E40" s="106">
        <v>24191105.688135158</v>
      </c>
      <c r="F40" s="106">
        <v>24629350.55591774</v>
      </c>
      <c r="G40" s="106">
        <v>25130017.206742547</v>
      </c>
      <c r="H40" s="106">
        <v>25631291.447313886</v>
      </c>
    </row>
    <row r="41" spans="1:8">
      <c r="A41" s="109" t="s">
        <v>62</v>
      </c>
      <c r="B41" s="106">
        <v>57172865.618546136</v>
      </c>
      <c r="C41" s="106">
        <v>57490583.903197691</v>
      </c>
      <c r="D41" s="106">
        <v>57584749.797055863</v>
      </c>
      <c r="E41" s="106">
        <v>58804767.390541874</v>
      </c>
      <c r="F41" s="106">
        <v>59829835.457413964</v>
      </c>
      <c r="G41" s="106">
        <v>61100577.171928145</v>
      </c>
      <c r="H41" s="106">
        <v>62372856.619869374</v>
      </c>
    </row>
    <row r="42" spans="1:8">
      <c r="A42" s="109" t="s">
        <v>63</v>
      </c>
      <c r="B42" s="106">
        <v>15671744.11582025</v>
      </c>
      <c r="C42" s="106">
        <v>15741811.208471168</v>
      </c>
      <c r="D42" s="106">
        <v>15765352.576747425</v>
      </c>
      <c r="E42" s="106">
        <v>16078984.407517644</v>
      </c>
      <c r="F42" s="106">
        <v>16354075.775982559</v>
      </c>
      <c r="G42" s="106">
        <v>16680985.738400349</v>
      </c>
      <c r="H42" s="106">
        <v>17008291.834884226</v>
      </c>
    </row>
    <row r="43" spans="1:8">
      <c r="A43" s="109" t="s">
        <v>64</v>
      </c>
      <c r="B43" s="106">
        <v>573263437.00570142</v>
      </c>
      <c r="C43" s="106">
        <v>498875376.44434124</v>
      </c>
      <c r="D43" s="106">
        <v>501753553.46678627</v>
      </c>
      <c r="E43" s="106">
        <v>512228936.84259105</v>
      </c>
      <c r="F43" s="106">
        <v>521270743.24754751</v>
      </c>
      <c r="G43" s="106">
        <v>532186610.12129837</v>
      </c>
      <c r="H43" s="106">
        <v>543115633.89983809</v>
      </c>
    </row>
    <row r="44" spans="1:8">
      <c r="A44" s="109" t="s">
        <v>65</v>
      </c>
      <c r="B44" s="106">
        <v>43810139.300064571</v>
      </c>
      <c r="C44" s="106">
        <v>44034254.277045816</v>
      </c>
      <c r="D44" s="106">
        <v>44142288.224828139</v>
      </c>
      <c r="E44" s="106">
        <v>45047799.710978821</v>
      </c>
      <c r="F44" s="106">
        <v>45972649.532771647</v>
      </c>
      <c r="G44" s="106">
        <v>46919179.245005347</v>
      </c>
      <c r="H44" s="106">
        <v>47866854.00511317</v>
      </c>
    </row>
    <row r="45" spans="1:8">
      <c r="A45" s="109" t="s">
        <v>66</v>
      </c>
      <c r="B45" s="106">
        <v>1342157884.125746</v>
      </c>
      <c r="C45" s="106">
        <v>1291308945.5279064</v>
      </c>
      <c r="D45" s="106">
        <v>1302788755.5908561</v>
      </c>
      <c r="E45" s="106">
        <v>1329844493.6543458</v>
      </c>
      <c r="F45" s="106">
        <v>1354461176.8263395</v>
      </c>
      <c r="G45" s="106">
        <v>1382779274.5926418</v>
      </c>
      <c r="H45" s="106">
        <v>1411034694.5264814</v>
      </c>
    </row>
    <row r="46" spans="1:8">
      <c r="A46" s="109" t="s">
        <v>67</v>
      </c>
      <c r="B46" s="106">
        <v>114759872.95171516</v>
      </c>
      <c r="C46" s="106">
        <v>115323290.34487455</v>
      </c>
      <c r="D46" s="106">
        <v>115505018.08660142</v>
      </c>
      <c r="E46" s="106">
        <v>117946148.60741238</v>
      </c>
      <c r="F46" s="106">
        <v>120200387.6106872</v>
      </c>
      <c r="G46" s="106">
        <v>122752866.04518431</v>
      </c>
      <c r="H46" s="106">
        <v>125302863.26422036</v>
      </c>
    </row>
    <row r="47" spans="1:8">
      <c r="A47" s="109" t="s">
        <v>68</v>
      </c>
      <c r="B47" s="106">
        <v>13689173.595636988</v>
      </c>
      <c r="C47" s="106">
        <v>13743980.299100671</v>
      </c>
      <c r="D47" s="106">
        <v>13756757.459948489</v>
      </c>
      <c r="E47" s="106">
        <v>14012368.653905382</v>
      </c>
      <c r="F47" s="106">
        <v>14491899.614531698</v>
      </c>
      <c r="G47" s="106">
        <v>14763570.79533438</v>
      </c>
      <c r="H47" s="106">
        <v>15035573.900363887</v>
      </c>
    </row>
    <row r="48" spans="1:8">
      <c r="A48" s="109" t="s">
        <v>97</v>
      </c>
      <c r="B48" s="106">
        <v>174852835.74649885</v>
      </c>
      <c r="C48" s="106">
        <v>175919069.93249908</v>
      </c>
      <c r="D48" s="106">
        <v>176564966.37872711</v>
      </c>
      <c r="E48" s="106">
        <v>180312767.6536448</v>
      </c>
      <c r="F48" s="106">
        <v>183727002.42320237</v>
      </c>
      <c r="G48" s="106">
        <v>187647909.66012233</v>
      </c>
      <c r="H48" s="106">
        <v>191561944.56783241</v>
      </c>
    </row>
    <row r="49" spans="1:8">
      <c r="A49" s="109" t="s">
        <v>69</v>
      </c>
      <c r="B49" s="106">
        <v>47171865.076667719</v>
      </c>
      <c r="C49" s="106">
        <v>47329362.997329935</v>
      </c>
      <c r="D49" s="106">
        <v>47390872.628475867</v>
      </c>
      <c r="E49" s="106">
        <v>48225045.9996204</v>
      </c>
      <c r="F49" s="106">
        <v>48977281.826965012</v>
      </c>
      <c r="G49" s="106">
        <v>49847198.085828692</v>
      </c>
      <c r="H49" s="106">
        <v>50718167.511689007</v>
      </c>
    </row>
    <row r="50" spans="1:8">
      <c r="A50" s="109" t="s">
        <v>70</v>
      </c>
      <c r="B50" s="106">
        <v>93960862.60211499</v>
      </c>
      <c r="C50" s="106">
        <v>94559084.392605528</v>
      </c>
      <c r="D50" s="106">
        <v>94964591.02335842</v>
      </c>
      <c r="E50" s="106">
        <v>96953387.482903972</v>
      </c>
      <c r="F50" s="106">
        <v>98912277.923873499</v>
      </c>
      <c r="G50" s="106">
        <v>100991182.60990809</v>
      </c>
      <c r="H50" s="106">
        <v>103071120.84853272</v>
      </c>
    </row>
    <row r="51" spans="1:8">
      <c r="A51" s="109" t="s">
        <v>71</v>
      </c>
      <c r="B51" s="106">
        <v>387365824.90586275</v>
      </c>
      <c r="C51" s="106">
        <v>390359542.00376427</v>
      </c>
      <c r="D51" s="106">
        <v>393337921.00428545</v>
      </c>
      <c r="E51" s="106">
        <v>401474391.42802554</v>
      </c>
      <c r="F51" s="106">
        <v>410516387.65412581</v>
      </c>
      <c r="G51" s="106">
        <v>419040293.02564728</v>
      </c>
      <c r="H51" s="106">
        <v>427570693.94356805</v>
      </c>
    </row>
    <row r="52" spans="1:8">
      <c r="A52" s="109" t="s">
        <v>72</v>
      </c>
      <c r="B52" s="106">
        <v>67260622.84324491</v>
      </c>
      <c r="C52" s="106">
        <v>67769777.067905441</v>
      </c>
      <c r="D52" s="106">
        <v>68000051.812979609</v>
      </c>
      <c r="E52" s="106">
        <v>69452817.149890453</v>
      </c>
      <c r="F52" s="106">
        <v>71416526.964878425</v>
      </c>
      <c r="G52" s="106">
        <v>72944940.882031292</v>
      </c>
      <c r="H52" s="106">
        <v>74475195.405526027</v>
      </c>
    </row>
    <row r="53" spans="1:8">
      <c r="A53" s="109" t="s">
        <v>98</v>
      </c>
      <c r="B53" s="106">
        <v>36370776.718488581</v>
      </c>
      <c r="C53" s="106">
        <v>27755984.879328106</v>
      </c>
      <c r="D53" s="106">
        <v>27846699.676647324</v>
      </c>
      <c r="E53" s="106">
        <v>28410907.992728297</v>
      </c>
      <c r="F53" s="106">
        <v>28881392.463613231</v>
      </c>
      <c r="G53" s="106">
        <v>29468985.030013569</v>
      </c>
      <c r="H53" s="106">
        <v>30057286.735727016</v>
      </c>
    </row>
    <row r="54" spans="1:8">
      <c r="A54" s="109" t="s">
        <v>73</v>
      </c>
      <c r="B54" s="106">
        <v>46830050.116782852</v>
      </c>
      <c r="C54" s="106">
        <v>47050469.319394842</v>
      </c>
      <c r="D54" s="106">
        <v>47135053.746873073</v>
      </c>
      <c r="E54" s="106">
        <v>48124757.746535376</v>
      </c>
      <c r="F54" s="106">
        <v>49069164.272940941</v>
      </c>
      <c r="G54" s="106">
        <v>50102338.456388906</v>
      </c>
      <c r="H54" s="106">
        <v>51136759.982580528</v>
      </c>
    </row>
    <row r="55" spans="1:8">
      <c r="A55" s="109" t="s">
        <v>74</v>
      </c>
      <c r="B55" s="106">
        <v>15500615.732969012</v>
      </c>
      <c r="C55" s="106">
        <v>15540179.278128898</v>
      </c>
      <c r="D55" s="106">
        <v>15553889.888278253</v>
      </c>
      <c r="E55" s="106">
        <v>15815977.989124306</v>
      </c>
      <c r="F55" s="106">
        <v>16131581.102657784</v>
      </c>
      <c r="G55" s="106">
        <v>16406524.321845088</v>
      </c>
      <c r="H55" s="106">
        <v>16681804.010443332</v>
      </c>
    </row>
    <row r="56" spans="1:8">
      <c r="A56" s="109" t="s">
        <v>75</v>
      </c>
      <c r="B56" s="106">
        <v>85414173.837452203</v>
      </c>
      <c r="C56" s="106">
        <v>85856341.574338838</v>
      </c>
      <c r="D56" s="106">
        <v>86040582.559775651</v>
      </c>
      <c r="E56" s="106">
        <v>87840984.339717463</v>
      </c>
      <c r="F56" s="106">
        <v>89473033.403698981</v>
      </c>
      <c r="G56" s="106">
        <v>91350746.629040986</v>
      </c>
      <c r="H56" s="106">
        <v>93230727.523657113</v>
      </c>
    </row>
    <row r="57" spans="1:8">
      <c r="A57" s="109" t="s">
        <v>76</v>
      </c>
      <c r="B57" s="106">
        <v>415592412.47129476</v>
      </c>
      <c r="C57" s="106">
        <v>418151096.16338992</v>
      </c>
      <c r="D57" s="106">
        <v>419174135.94525409</v>
      </c>
      <c r="E57" s="106">
        <v>428207875.18064082</v>
      </c>
      <c r="F57" s="106">
        <v>435951432.02042347</v>
      </c>
      <c r="G57" s="106">
        <v>445491473.58066016</v>
      </c>
      <c r="H57" s="106">
        <v>454917899.53290975</v>
      </c>
    </row>
    <row r="58" spans="1:8">
      <c r="A58" s="109" t="s">
        <v>77</v>
      </c>
      <c r="B58" s="106">
        <v>70692670.568050548</v>
      </c>
      <c r="C58" s="106">
        <v>71144253.33797279</v>
      </c>
      <c r="D58" s="106">
        <v>71330136.807541043</v>
      </c>
      <c r="E58" s="106">
        <v>72821836.306385458</v>
      </c>
      <c r="F58" s="106">
        <v>74264811.605762124</v>
      </c>
      <c r="G58" s="106">
        <v>75836627.278269038</v>
      </c>
      <c r="H58" s="106">
        <v>77396406.151008785</v>
      </c>
    </row>
    <row r="59" spans="1:8">
      <c r="A59" s="109" t="s">
        <v>99</v>
      </c>
      <c r="B59" s="106">
        <v>8370585.2369895615</v>
      </c>
      <c r="C59" s="106">
        <v>8412280.9210026748</v>
      </c>
      <c r="D59" s="106">
        <v>8421276.0431127083</v>
      </c>
      <c r="E59" s="106">
        <v>8575449.6599987373</v>
      </c>
      <c r="F59" s="106">
        <v>9059369.0560598299</v>
      </c>
      <c r="G59" s="106">
        <v>9227222.9806010872</v>
      </c>
      <c r="H59" s="106">
        <v>9395282.9984054081</v>
      </c>
    </row>
    <row r="60" spans="1:8">
      <c r="A60" s="109" t="s">
        <v>100</v>
      </c>
      <c r="B60" s="106">
        <v>1843783.1673340281</v>
      </c>
      <c r="C60" s="106">
        <v>1853686.5055123942</v>
      </c>
      <c r="D60" s="106">
        <v>1857116.030442053</v>
      </c>
      <c r="E60" s="106">
        <v>1886683.9308956328</v>
      </c>
      <c r="F60" s="106">
        <v>1910710.566866538</v>
      </c>
      <c r="G60" s="106">
        <v>1941491.3003071016</v>
      </c>
      <c r="H60" s="106">
        <v>1972308.7254632318</v>
      </c>
    </row>
    <row r="61" spans="1:8">
      <c r="A61" s="109" t="s">
        <v>78</v>
      </c>
      <c r="B61" s="106">
        <v>161234228.21724939</v>
      </c>
      <c r="C61" s="106">
        <v>162264192.75647053</v>
      </c>
      <c r="D61" s="106">
        <v>162447240.11508581</v>
      </c>
      <c r="E61" s="106">
        <v>165887046.23227775</v>
      </c>
      <c r="F61" s="106">
        <v>170058299.19379142</v>
      </c>
      <c r="G61" s="106">
        <v>173688944.51737139</v>
      </c>
      <c r="H61" s="106">
        <v>177302841.58625919</v>
      </c>
    </row>
    <row r="62" spans="1:8">
      <c r="A62" s="109" t="s">
        <v>79</v>
      </c>
      <c r="B62" s="106">
        <v>231768948.02926096</v>
      </c>
      <c r="C62" s="106">
        <v>233728553.67080218</v>
      </c>
      <c r="D62" s="106">
        <v>234875453.48001766</v>
      </c>
      <c r="E62" s="106">
        <v>239822574.27897909</v>
      </c>
      <c r="F62" s="106">
        <v>245482604.27790052</v>
      </c>
      <c r="G62" s="106">
        <v>250878711.72367579</v>
      </c>
      <c r="H62" s="106">
        <v>256072908.53355727</v>
      </c>
    </row>
    <row r="63" spans="1:8">
      <c r="A63" s="109" t="s">
        <v>80</v>
      </c>
      <c r="B63" s="106">
        <v>24824408.331554729</v>
      </c>
      <c r="C63" s="106">
        <v>24957463.359129921</v>
      </c>
      <c r="D63" s="106">
        <v>25013861.756197106</v>
      </c>
      <c r="E63" s="106">
        <v>25485002.68293355</v>
      </c>
      <c r="F63" s="106">
        <v>26492652.061320655</v>
      </c>
      <c r="G63" s="106">
        <v>26995937.325448293</v>
      </c>
      <c r="H63" s="106">
        <v>27499830.791924164</v>
      </c>
    </row>
    <row r="64" spans="1:8">
      <c r="A64" s="109" t="s">
        <v>101</v>
      </c>
      <c r="B64" s="106">
        <v>80216786.922118753</v>
      </c>
      <c r="C64" s="106">
        <v>80668290.664420888</v>
      </c>
      <c r="D64" s="106">
        <v>80798740.080567315</v>
      </c>
      <c r="E64" s="106">
        <v>82490881.621234655</v>
      </c>
      <c r="F64" s="106">
        <v>84834774.010840923</v>
      </c>
      <c r="G64" s="106">
        <v>86616194.271748349</v>
      </c>
      <c r="H64" s="106">
        <v>88399767.845182627</v>
      </c>
    </row>
    <row r="65" spans="1:8">
      <c r="A65" s="109" t="s">
        <v>102</v>
      </c>
      <c r="B65" s="106">
        <v>10937600.008741822</v>
      </c>
      <c r="C65" s="106">
        <v>10957346.475788409</v>
      </c>
      <c r="D65" s="106">
        <v>10966070.651536107</v>
      </c>
      <c r="E65" s="106">
        <v>11174638.815873109</v>
      </c>
      <c r="F65" s="106">
        <v>11374118.076102303</v>
      </c>
      <c r="G65" s="106">
        <v>11591855.921396228</v>
      </c>
      <c r="H65" s="106">
        <v>11809861.845074734</v>
      </c>
    </row>
    <row r="66" spans="1:8">
      <c r="A66" s="109" t="s">
        <v>82</v>
      </c>
      <c r="B66" s="106">
        <v>0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</row>
    <row r="67" spans="1:8" ht="15.75" thickBot="1">
      <c r="A67" s="110" t="s">
        <v>83</v>
      </c>
      <c r="B67" s="117">
        <v>8482130936.1893997</v>
      </c>
      <c r="C67" s="117">
        <v>8287703713.0843515</v>
      </c>
      <c r="D67" s="117">
        <v>8333028389.8356018</v>
      </c>
      <c r="E67" s="117">
        <v>8507369052.217536</v>
      </c>
      <c r="F67" s="117">
        <v>8682619237.4285851</v>
      </c>
      <c r="G67" s="117">
        <v>8864799291.2140923</v>
      </c>
      <c r="H67" s="117">
        <v>9044992859.5634956</v>
      </c>
    </row>
    <row r="68" spans="1:8" ht="15.75" thickTop="1">
      <c r="A68" s="111" t="s">
        <v>84</v>
      </c>
      <c r="B68" s="106">
        <v>54195663.875</v>
      </c>
      <c r="C68" s="106">
        <v>57676761.85125</v>
      </c>
      <c r="D68" s="106">
        <v>57999085.100000001</v>
      </c>
      <c r="E68" s="106">
        <v>59210241.361249998</v>
      </c>
      <c r="F68" s="106">
        <v>60427719.25</v>
      </c>
      <c r="G68" s="106">
        <v>61693336.32</v>
      </c>
      <c r="H68" s="106">
        <v>62960481.206249997</v>
      </c>
    </row>
    <row r="69" spans="1:8">
      <c r="A69" s="111"/>
      <c r="B69" s="106"/>
      <c r="C69" s="106"/>
      <c r="D69" s="106"/>
      <c r="E69" s="106"/>
      <c r="F69" s="106"/>
      <c r="G69" s="106"/>
      <c r="H69" s="106"/>
    </row>
    <row r="70" spans="1:8" ht="15.75" thickBot="1">
      <c r="A70" s="112" t="s">
        <v>83</v>
      </c>
      <c r="B70" s="118">
        <f t="shared" ref="B70:H70" si="0">SUM(B67:B68)</f>
        <v>8536326600.0643997</v>
      </c>
      <c r="C70" s="118">
        <f t="shared" si="0"/>
        <v>8345380474.9356012</v>
      </c>
      <c r="D70" s="118">
        <f t="shared" si="0"/>
        <v>8391027474.9356022</v>
      </c>
      <c r="E70" s="118">
        <f t="shared" si="0"/>
        <v>8566579293.5787859</v>
      </c>
      <c r="F70" s="118">
        <f t="shared" si="0"/>
        <v>8743046956.6785851</v>
      </c>
      <c r="G70" s="118">
        <f t="shared" si="0"/>
        <v>8926492627.5340919</v>
      </c>
      <c r="H70" s="118">
        <f t="shared" si="0"/>
        <v>9107953340.7697449</v>
      </c>
    </row>
    <row r="71" spans="1:8" s="72" customFormat="1" ht="15.75" thickTop="1">
      <c r="A71" s="113" t="s">
        <v>140</v>
      </c>
      <c r="B71" s="106">
        <v>0</v>
      </c>
      <c r="C71" s="106">
        <v>90000000</v>
      </c>
      <c r="D71" s="106">
        <v>200000000</v>
      </c>
      <c r="E71" s="106">
        <v>200000000</v>
      </c>
      <c r="F71" s="106">
        <v>200000000</v>
      </c>
      <c r="G71" s="106">
        <v>200000000</v>
      </c>
      <c r="H71" s="106">
        <v>200000000</v>
      </c>
    </row>
    <row r="72" spans="1:8" s="72" customFormat="1">
      <c r="A72" s="113" t="s">
        <v>142</v>
      </c>
      <c r="B72" s="106">
        <v>0</v>
      </c>
      <c r="C72" s="106">
        <v>262950000</v>
      </c>
      <c r="D72" s="106">
        <v>262950000</v>
      </c>
      <c r="E72" s="106">
        <v>268288000</v>
      </c>
      <c r="F72" s="106">
        <v>273653500</v>
      </c>
      <c r="G72" s="106">
        <v>279231500</v>
      </c>
      <c r="H72" s="106">
        <v>284816000</v>
      </c>
    </row>
    <row r="73" spans="1:8" s="72" customFormat="1">
      <c r="A73" s="119" t="s">
        <v>141</v>
      </c>
      <c r="B73" s="106">
        <v>0</v>
      </c>
      <c r="C73" s="118">
        <f t="shared" ref="C73:H73" si="1">SUM(C71:C72)</f>
        <v>352950000</v>
      </c>
      <c r="D73" s="118">
        <f t="shared" si="1"/>
        <v>462950000</v>
      </c>
      <c r="E73" s="118">
        <f t="shared" si="1"/>
        <v>468288000</v>
      </c>
      <c r="F73" s="118">
        <f t="shared" si="1"/>
        <v>473653500</v>
      </c>
      <c r="G73" s="118">
        <f t="shared" si="1"/>
        <v>479231500</v>
      </c>
      <c r="H73" s="118">
        <f t="shared" si="1"/>
        <v>484816000</v>
      </c>
    </row>
    <row r="74" spans="1:8">
      <c r="A74" s="113" t="s">
        <v>85</v>
      </c>
      <c r="B74" s="106">
        <v>30000000</v>
      </c>
      <c r="C74" s="106">
        <v>30000000</v>
      </c>
      <c r="D74" s="106">
        <v>30000000</v>
      </c>
      <c r="E74" s="106">
        <v>30000000</v>
      </c>
      <c r="F74" s="106">
        <v>30000000</v>
      </c>
      <c r="G74" s="106">
        <v>30000000</v>
      </c>
      <c r="H74" s="106">
        <v>30000000</v>
      </c>
    </row>
    <row r="75" spans="1:8">
      <c r="A75" s="114" t="s">
        <v>122</v>
      </c>
      <c r="B75" s="106">
        <v>5000000</v>
      </c>
      <c r="C75" s="106">
        <v>5000000</v>
      </c>
      <c r="D75" s="106">
        <v>5000000</v>
      </c>
      <c r="E75" s="106">
        <v>5000000</v>
      </c>
      <c r="F75" s="106">
        <v>5000000</v>
      </c>
      <c r="G75" s="106">
        <v>5000000</v>
      </c>
      <c r="H75" s="106">
        <v>5000000</v>
      </c>
    </row>
    <row r="76" spans="1:8">
      <c r="A76" s="114" t="s">
        <v>123</v>
      </c>
      <c r="B76" s="106">
        <v>1823400</v>
      </c>
      <c r="C76" s="106">
        <v>5000000</v>
      </c>
      <c r="D76" s="106">
        <v>5000000</v>
      </c>
      <c r="E76" s="106">
        <v>5000000</v>
      </c>
      <c r="F76" s="106">
        <v>5000000</v>
      </c>
      <c r="G76" s="106">
        <v>5000000</v>
      </c>
      <c r="H76" s="106">
        <v>5000000</v>
      </c>
    </row>
    <row r="77" spans="1:8">
      <c r="A77" s="115"/>
      <c r="B77" s="106"/>
      <c r="C77" s="106"/>
      <c r="D77" s="106"/>
      <c r="E77" s="106"/>
      <c r="F77" s="106"/>
      <c r="G77" s="106"/>
      <c r="H77" s="106"/>
    </row>
    <row r="78" spans="1:8" ht="15.75" thickBot="1">
      <c r="A78" s="116" t="s">
        <v>86</v>
      </c>
      <c r="B78" s="105">
        <f t="shared" ref="B78:H78" si="2">SUM(B70,B73,B74,B75,B76)</f>
        <v>8573150000.0643997</v>
      </c>
      <c r="C78" s="105">
        <f t="shared" si="2"/>
        <v>8738330474.9356003</v>
      </c>
      <c r="D78" s="105">
        <f t="shared" si="2"/>
        <v>8893977474.9356022</v>
      </c>
      <c r="E78" s="105">
        <f t="shared" si="2"/>
        <v>9074867293.5787849</v>
      </c>
      <c r="F78" s="105">
        <f t="shared" si="2"/>
        <v>9256700456.6785851</v>
      </c>
      <c r="G78" s="105">
        <f t="shared" si="2"/>
        <v>9445724127.5340919</v>
      </c>
      <c r="H78" s="105">
        <f t="shared" si="2"/>
        <v>9632769340.7697449</v>
      </c>
    </row>
    <row r="79" spans="1:8" ht="15.75" thickTop="1">
      <c r="B79" s="73" t="e">
        <f>#REF!</f>
        <v>#REF!</v>
      </c>
      <c r="C79" s="73" t="e">
        <f>#REF!</f>
        <v>#REF!</v>
      </c>
      <c r="D79" s="73" t="e">
        <f>#REF!</f>
        <v>#REF!</v>
      </c>
      <c r="E79" s="73" t="e">
        <f>#REF!</f>
        <v>#REF!</v>
      </c>
      <c r="F79" s="73" t="e">
        <f>#REF!</f>
        <v>#REF!</v>
      </c>
      <c r="G79" s="73" t="e">
        <f>#REF!</f>
        <v>#REF!</v>
      </c>
      <c r="H79" s="73" t="e">
        <f>#REF!</f>
        <v>#REF!</v>
      </c>
    </row>
    <row r="80" spans="1:8">
      <c r="A80" s="48" t="s">
        <v>87</v>
      </c>
      <c r="B80" s="73"/>
      <c r="C80" s="73"/>
      <c r="D80" s="73"/>
      <c r="E80" s="73"/>
      <c r="F80" s="73"/>
      <c r="G80" s="73"/>
      <c r="H80" s="73"/>
    </row>
    <row r="81" spans="1:8">
      <c r="B81" s="73" t="e">
        <f t="shared" ref="B81:H81" si="3">B79-B78</f>
        <v>#REF!</v>
      </c>
      <c r="C81" s="73" t="e">
        <f t="shared" si="3"/>
        <v>#REF!</v>
      </c>
      <c r="D81" s="73" t="e">
        <f t="shared" si="3"/>
        <v>#REF!</v>
      </c>
      <c r="E81" s="73" t="e">
        <f t="shared" si="3"/>
        <v>#REF!</v>
      </c>
      <c r="F81" s="73" t="e">
        <f t="shared" si="3"/>
        <v>#REF!</v>
      </c>
      <c r="G81" s="73" t="e">
        <f t="shared" si="3"/>
        <v>#REF!</v>
      </c>
      <c r="H81" s="73" t="e">
        <f t="shared" si="3"/>
        <v>#REF!</v>
      </c>
    </row>
    <row r="82" spans="1:8">
      <c r="A82" s="103" t="s">
        <v>138</v>
      </c>
      <c r="B82" s="73"/>
      <c r="C82" s="73"/>
      <c r="D82" s="73"/>
      <c r="E82" s="73"/>
      <c r="F82" s="73"/>
      <c r="G82" s="73"/>
      <c r="H82" s="73"/>
    </row>
    <row r="83" spans="1:8">
      <c r="B83" s="73"/>
      <c r="C83" s="73" t="e">
        <f t="shared" ref="C83:H83" si="4">21850000-C81</f>
        <v>#REF!</v>
      </c>
      <c r="D83" s="73" t="e">
        <f t="shared" si="4"/>
        <v>#REF!</v>
      </c>
      <c r="E83" s="73" t="e">
        <f t="shared" si="4"/>
        <v>#REF!</v>
      </c>
      <c r="F83" s="73" t="e">
        <f t="shared" si="4"/>
        <v>#REF!</v>
      </c>
      <c r="G83" s="73" t="e">
        <f t="shared" si="4"/>
        <v>#REF!</v>
      </c>
      <c r="H83" s="73" t="e">
        <f t="shared" si="4"/>
        <v>#REF!</v>
      </c>
    </row>
    <row r="84" spans="1:8">
      <c r="B84" s="73"/>
      <c r="C84" s="73"/>
      <c r="D84" s="73"/>
      <c r="E84" s="73"/>
      <c r="F84" s="73"/>
      <c r="G84" s="73"/>
      <c r="H84" s="73"/>
    </row>
    <row r="85" spans="1:8">
      <c r="B85" s="73" t="e">
        <f>#REF!</f>
        <v>#REF!</v>
      </c>
      <c r="C85" s="73" t="e">
        <f>#REF!</f>
        <v>#REF!</v>
      </c>
      <c r="D85" s="73" t="e">
        <f>#REF!</f>
        <v>#REF!</v>
      </c>
      <c r="E85" s="73" t="e">
        <f>#REF!</f>
        <v>#REF!</v>
      </c>
      <c r="F85" s="73" t="e">
        <f>#REF!</f>
        <v>#REF!</v>
      </c>
      <c r="G85" s="73" t="e">
        <f>#REF!</f>
        <v>#REF!</v>
      </c>
      <c r="H85" s="73" t="e">
        <f>#REF!</f>
        <v>#REF!</v>
      </c>
    </row>
    <row r="86" spans="1:8">
      <c r="B86" s="73"/>
      <c r="C86" s="73"/>
      <c r="D86" s="73"/>
      <c r="E86" s="73"/>
      <c r="F86" s="73"/>
      <c r="G86" s="73"/>
      <c r="H86" s="73"/>
    </row>
    <row r="87" spans="1:8">
      <c r="B87" s="73"/>
      <c r="C87" s="73"/>
      <c r="D87" s="73"/>
      <c r="E87" s="73"/>
      <c r="F87" s="73"/>
      <c r="G87" s="73"/>
      <c r="H87" s="73"/>
    </row>
    <row r="88" spans="1:8">
      <c r="B88" s="73"/>
      <c r="C88" s="73"/>
      <c r="D88" s="73"/>
      <c r="E88" s="73"/>
      <c r="F88" s="73"/>
      <c r="G88" s="73"/>
      <c r="H88" s="73"/>
    </row>
    <row r="89" spans="1:8">
      <c r="B89" s="73"/>
      <c r="C89" s="73"/>
      <c r="D89" s="73"/>
      <c r="E89" s="73"/>
      <c r="F89" s="73"/>
      <c r="G89" s="73"/>
      <c r="H89" s="73"/>
    </row>
    <row r="90" spans="1:8">
      <c r="B90" s="73"/>
      <c r="C90" s="73"/>
      <c r="D90" s="73"/>
      <c r="E90" s="73"/>
      <c r="F90" s="73"/>
      <c r="G90" s="73"/>
      <c r="H90" s="73"/>
    </row>
    <row r="91" spans="1:8">
      <c r="B91" s="73"/>
      <c r="C91" s="73"/>
      <c r="D91" s="73"/>
      <c r="E91" s="73"/>
      <c r="F91" s="73"/>
      <c r="G91" s="73"/>
      <c r="H91" s="73"/>
    </row>
    <row r="92" spans="1:8">
      <c r="B92" s="73"/>
      <c r="C92" s="73"/>
      <c r="D92" s="73"/>
      <c r="E92" s="73"/>
      <c r="F92" s="73"/>
      <c r="G92" s="73"/>
      <c r="H92" s="73"/>
    </row>
    <row r="93" spans="1:8">
      <c r="B93" s="73"/>
      <c r="C93" s="73"/>
      <c r="D93" s="73"/>
      <c r="E93" s="73"/>
      <c r="F93" s="73"/>
      <c r="G93" s="73"/>
      <c r="H93" s="73"/>
    </row>
    <row r="94" spans="1:8">
      <c r="B94" s="73"/>
      <c r="C94" s="73"/>
      <c r="D94" s="73"/>
      <c r="E94" s="73"/>
      <c r="F94" s="73"/>
      <c r="G94" s="73"/>
      <c r="H94" s="73"/>
    </row>
    <row r="95" spans="1:8">
      <c r="B95" s="73"/>
      <c r="C95" s="73"/>
      <c r="D95" s="73"/>
      <c r="E95" s="73"/>
      <c r="F95" s="73"/>
      <c r="G95" s="73"/>
      <c r="H95" s="73"/>
    </row>
    <row r="96" spans="1:8">
      <c r="B96" s="73"/>
      <c r="C96" s="73"/>
      <c r="D96" s="73"/>
      <c r="E96" s="73"/>
      <c r="F96" s="73"/>
      <c r="G96" s="73"/>
      <c r="H96" s="73"/>
    </row>
    <row r="97" spans="2:8">
      <c r="B97" s="73"/>
      <c r="C97" s="73"/>
      <c r="D97" s="73"/>
      <c r="E97" s="73"/>
      <c r="F97" s="73"/>
      <c r="G97" s="73"/>
      <c r="H97" s="7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7"/>
  <sheetViews>
    <sheetView workbookViewId="0">
      <selection activeCell="G84" sqref="G84"/>
    </sheetView>
  </sheetViews>
  <sheetFormatPr defaultRowHeight="15"/>
  <cols>
    <col min="1" max="1" width="29.140625" style="48" customWidth="1"/>
    <col min="2" max="2" width="14" customWidth="1"/>
    <col min="3" max="3" width="14.85546875" customWidth="1"/>
    <col min="4" max="4" width="16.42578125" customWidth="1"/>
    <col min="5" max="5" width="12.140625" customWidth="1"/>
    <col min="6" max="6" width="14.5703125" customWidth="1"/>
    <col min="7" max="7" width="15.140625" customWidth="1"/>
    <col min="8" max="8" width="16.5703125" customWidth="1"/>
    <col min="9" max="9" width="12.42578125" customWidth="1"/>
    <col min="10" max="10" width="11.85546875" customWidth="1"/>
  </cols>
  <sheetData>
    <row r="1" spans="1:8">
      <c r="A1"/>
      <c r="B1" s="73"/>
      <c r="C1" s="73"/>
      <c r="D1" s="73"/>
      <c r="E1" s="73"/>
      <c r="F1" s="73"/>
      <c r="G1" s="73"/>
      <c r="H1" s="73"/>
    </row>
    <row r="2" spans="1:8">
      <c r="A2"/>
      <c r="B2" s="73"/>
      <c r="C2" s="73"/>
      <c r="D2" s="73"/>
      <c r="E2" s="73"/>
      <c r="F2" s="73"/>
      <c r="G2" s="73"/>
      <c r="H2" s="73"/>
    </row>
    <row r="3" spans="1:8">
      <c r="A3"/>
      <c r="B3" s="73"/>
      <c r="C3" s="73"/>
      <c r="D3" s="73"/>
      <c r="E3" s="73"/>
      <c r="F3" s="73"/>
      <c r="G3" s="73"/>
      <c r="H3" s="73"/>
    </row>
    <row r="4" spans="1:8">
      <c r="A4"/>
      <c r="B4" s="73"/>
      <c r="C4" s="73"/>
      <c r="D4" s="73"/>
      <c r="E4" s="73"/>
      <c r="F4" s="73"/>
      <c r="G4" s="73"/>
      <c r="H4" s="73"/>
    </row>
    <row r="5" spans="1:8">
      <c r="A5" s="24"/>
      <c r="B5" s="73"/>
      <c r="C5" s="73"/>
      <c r="D5" s="73"/>
      <c r="E5" s="73"/>
      <c r="F5" s="73"/>
      <c r="G5" s="73"/>
      <c r="H5" s="73"/>
    </row>
    <row r="6" spans="1:8">
      <c r="A6" s="24"/>
      <c r="B6" s="73"/>
      <c r="C6" s="73"/>
      <c r="D6" s="73"/>
      <c r="E6" s="73"/>
      <c r="F6" s="73"/>
      <c r="G6" s="73"/>
      <c r="H6" s="73"/>
    </row>
    <row r="7" spans="1:8">
      <c r="A7" s="24"/>
      <c r="B7" s="73"/>
      <c r="C7" s="73"/>
      <c r="D7" s="73"/>
      <c r="E7" s="73"/>
      <c r="F7" s="73"/>
      <c r="G7" s="73"/>
      <c r="H7" s="73"/>
    </row>
    <row r="8" spans="1:8">
      <c r="A8" s="25"/>
      <c r="B8" s="73" t="s">
        <v>143</v>
      </c>
      <c r="C8" s="73" t="s">
        <v>144</v>
      </c>
      <c r="D8" s="73" t="s">
        <v>145</v>
      </c>
      <c r="E8" s="73" t="s">
        <v>146</v>
      </c>
      <c r="F8" s="73" t="s">
        <v>147</v>
      </c>
      <c r="G8" s="73" t="s">
        <v>148</v>
      </c>
      <c r="H8" s="73" t="s">
        <v>149</v>
      </c>
    </row>
    <row r="9" spans="1:8" ht="15.75" thickBot="1">
      <c r="A9" s="26" t="s">
        <v>35</v>
      </c>
      <c r="B9" s="73" t="s">
        <v>81</v>
      </c>
      <c r="C9" s="73" t="s">
        <v>81</v>
      </c>
      <c r="D9" s="73" t="s">
        <v>81</v>
      </c>
      <c r="E9" s="73" t="s">
        <v>81</v>
      </c>
      <c r="F9" s="73" t="s">
        <v>81</v>
      </c>
      <c r="G9" s="73" t="s">
        <v>81</v>
      </c>
      <c r="H9" s="73" t="s">
        <v>81</v>
      </c>
    </row>
    <row r="10" spans="1:8">
      <c r="A10" s="27" t="s">
        <v>92</v>
      </c>
      <c r="B10" s="73">
        <v>52838746.309576377</v>
      </c>
      <c r="C10" s="73">
        <v>52869287.852626406</v>
      </c>
      <c r="D10" s="73">
        <v>52957303.379959606</v>
      </c>
      <c r="E10" s="73">
        <v>53972952.541269638</v>
      </c>
      <c r="F10" s="73">
        <v>54948439.466748424</v>
      </c>
      <c r="G10" s="73">
        <v>56008828.891775072</v>
      </c>
      <c r="H10" s="73">
        <v>57081742.38471058</v>
      </c>
    </row>
    <row r="11" spans="1:8">
      <c r="A11" s="27" t="s">
        <v>36</v>
      </c>
      <c r="B11" s="73">
        <v>44509181.111939318</v>
      </c>
      <c r="C11" s="73">
        <v>46261549.305932835</v>
      </c>
      <c r="D11" s="73">
        <v>46632057.751881585</v>
      </c>
      <c r="E11" s="73">
        <v>47571534.544030532</v>
      </c>
      <c r="F11" s="73">
        <v>48439934.325085573</v>
      </c>
      <c r="G11" s="73">
        <v>49420098.712159462</v>
      </c>
      <c r="H11" s="73">
        <v>50408506.730789721</v>
      </c>
    </row>
    <row r="12" spans="1:8">
      <c r="A12" s="27" t="s">
        <v>37</v>
      </c>
      <c r="B12" s="73">
        <v>825834.44998067222</v>
      </c>
      <c r="C12" s="73">
        <v>826013.16582843661</v>
      </c>
      <c r="D12" s="73">
        <v>826228.36280690227</v>
      </c>
      <c r="E12" s="73">
        <v>833343.4259763055</v>
      </c>
      <c r="F12" s="73">
        <v>840495.86241659743</v>
      </c>
      <c r="G12" s="73">
        <v>847930.98093973729</v>
      </c>
      <c r="H12" s="73">
        <v>855375.22065085475</v>
      </c>
    </row>
    <row r="13" spans="1:8">
      <c r="A13" s="27" t="s">
        <v>38</v>
      </c>
      <c r="B13" s="73">
        <v>107526626.92416336</v>
      </c>
      <c r="C13" s="73">
        <v>107566052.63235301</v>
      </c>
      <c r="D13" s="73">
        <v>107749444.9632421</v>
      </c>
      <c r="E13" s="73">
        <v>110032143.95797206</v>
      </c>
      <c r="F13" s="73">
        <v>112399306.33189571</v>
      </c>
      <c r="G13" s="73">
        <v>114821080.97792242</v>
      </c>
      <c r="H13" s="73">
        <v>117247342.50471057</v>
      </c>
    </row>
    <row r="14" spans="1:8">
      <c r="A14" s="27" t="s">
        <v>39</v>
      </c>
      <c r="B14" s="73">
        <v>30744550.881246865</v>
      </c>
      <c r="C14" s="73">
        <v>30765398.668597113</v>
      </c>
      <c r="D14" s="73">
        <v>30821718.375510424</v>
      </c>
      <c r="E14" s="73">
        <v>31464225.24734332</v>
      </c>
      <c r="F14" s="73">
        <v>32048811.343662858</v>
      </c>
      <c r="G14" s="73">
        <v>32718954.688014597</v>
      </c>
      <c r="H14" s="73">
        <v>33395941.192857858</v>
      </c>
    </row>
    <row r="15" spans="1:8">
      <c r="A15" s="27" t="s">
        <v>93</v>
      </c>
      <c r="B15" s="73">
        <v>1253984979.867434</v>
      </c>
      <c r="C15" s="73">
        <v>1257141731.194284</v>
      </c>
      <c r="D15" s="73">
        <v>1264028288.9244971</v>
      </c>
      <c r="E15" s="73">
        <v>1290866552.4364085</v>
      </c>
      <c r="F15" s="73">
        <v>1317777817.5898294</v>
      </c>
      <c r="G15" s="73">
        <v>1346032442.255029</v>
      </c>
      <c r="H15" s="73">
        <v>1374487948.6625528</v>
      </c>
    </row>
    <row r="16" spans="1:8">
      <c r="A16" s="27" t="s">
        <v>40</v>
      </c>
      <c r="B16" s="73">
        <v>111531890.7196829</v>
      </c>
      <c r="C16" s="73">
        <v>111663554.6983918</v>
      </c>
      <c r="D16" s="73">
        <v>111996335.29680239</v>
      </c>
      <c r="E16" s="73">
        <v>114379451.71632585</v>
      </c>
      <c r="F16" s="73">
        <v>117073732.41173518</v>
      </c>
      <c r="G16" s="73">
        <v>119582941.91842374</v>
      </c>
      <c r="H16" s="73">
        <v>122118058.58536142</v>
      </c>
    </row>
    <row r="17" spans="1:8">
      <c r="A17" s="27" t="s">
        <v>94</v>
      </c>
      <c r="B17" s="73">
        <v>157663158.95948723</v>
      </c>
      <c r="C17" s="73">
        <v>132625631.4647288</v>
      </c>
      <c r="D17" s="73">
        <v>133616403.35342635</v>
      </c>
      <c r="E17" s="73">
        <v>136386002.73712713</v>
      </c>
      <c r="F17" s="73">
        <v>139605235.16050336</v>
      </c>
      <c r="G17" s="73">
        <v>142521263.53033066</v>
      </c>
      <c r="H17" s="73">
        <v>145461367.45541102</v>
      </c>
    </row>
    <row r="18" spans="1:8">
      <c r="A18" s="27" t="s">
        <v>41</v>
      </c>
      <c r="B18" s="73">
        <v>24593443.547752906</v>
      </c>
      <c r="C18" s="73">
        <v>19586834.12320938</v>
      </c>
      <c r="D18" s="73">
        <v>19606226.691633206</v>
      </c>
      <c r="E18" s="73">
        <v>19998814.990708709</v>
      </c>
      <c r="F18" s="73">
        <v>20473265.647388283</v>
      </c>
      <c r="G18" s="73">
        <v>20885143.749424007</v>
      </c>
      <c r="H18" s="73">
        <v>21304472.250910673</v>
      </c>
    </row>
    <row r="19" spans="1:8">
      <c r="A19" s="27" t="s">
        <v>42</v>
      </c>
      <c r="B19" s="73">
        <v>168198179.36634091</v>
      </c>
      <c r="C19" s="73">
        <v>177810897.12647948</v>
      </c>
      <c r="D19" s="73">
        <v>180547062.63395181</v>
      </c>
      <c r="E19" s="73">
        <v>184225730.83439487</v>
      </c>
      <c r="F19" s="73">
        <v>187747572.43829742</v>
      </c>
      <c r="G19" s="73">
        <v>191657986.23609188</v>
      </c>
      <c r="H19" s="73">
        <v>195514320.03740859</v>
      </c>
    </row>
    <row r="20" spans="1:8">
      <c r="A20" s="27" t="s">
        <v>43</v>
      </c>
      <c r="B20" s="73">
        <v>360848078.34133577</v>
      </c>
      <c r="C20" s="73">
        <v>361224528.69437546</v>
      </c>
      <c r="D20" s="73">
        <v>362409006.3162232</v>
      </c>
      <c r="E20" s="73">
        <v>370191795.13450748</v>
      </c>
      <c r="F20" s="73">
        <v>377161155.33862376</v>
      </c>
      <c r="G20" s="73">
        <v>385293867.93866926</v>
      </c>
      <c r="H20" s="73">
        <v>393539988.14926553</v>
      </c>
    </row>
    <row r="21" spans="1:8">
      <c r="A21" s="27" t="s">
        <v>44</v>
      </c>
      <c r="B21" s="73">
        <v>174055050.96458936</v>
      </c>
      <c r="C21" s="73">
        <v>174541566.81371617</v>
      </c>
      <c r="D21" s="73">
        <v>175472301.74199545</v>
      </c>
      <c r="E21" s="73">
        <v>179168519.52365783</v>
      </c>
      <c r="F21" s="73">
        <v>183074945.1654166</v>
      </c>
      <c r="G21" s="73">
        <v>186987503.17148307</v>
      </c>
      <c r="H21" s="73">
        <v>190902651.17017186</v>
      </c>
    </row>
    <row r="22" spans="1:8">
      <c r="A22" s="27" t="s">
        <v>45</v>
      </c>
      <c r="B22" s="73">
        <v>1353129.7784506138</v>
      </c>
      <c r="C22" s="73">
        <v>1353806.3948297384</v>
      </c>
      <c r="D22" s="73">
        <v>1354621.1283542095</v>
      </c>
      <c r="E22" s="73">
        <v>1373261.0020739255</v>
      </c>
      <c r="F22" s="73">
        <v>1391998.7563684215</v>
      </c>
      <c r="G22" s="73">
        <v>1411477.1210949346</v>
      </c>
      <c r="H22" s="73">
        <v>1430979.3261169051</v>
      </c>
    </row>
    <row r="23" spans="1:8">
      <c r="A23" s="27" t="s">
        <v>46</v>
      </c>
      <c r="B23" s="73">
        <v>41053995.820903264</v>
      </c>
      <c r="C23" s="73">
        <v>41078206.774536945</v>
      </c>
      <c r="D23" s="73">
        <v>41137592.588359773</v>
      </c>
      <c r="E23" s="73">
        <v>42016607.829359092</v>
      </c>
      <c r="F23" s="73">
        <v>43272851.502205394</v>
      </c>
      <c r="G23" s="73">
        <v>44213020.030413345</v>
      </c>
      <c r="H23" s="73">
        <v>45155457.46836172</v>
      </c>
    </row>
    <row r="24" spans="1:8">
      <c r="A24" s="27" t="s">
        <v>47</v>
      </c>
      <c r="B24" s="73">
        <v>23242375.640375413</v>
      </c>
      <c r="C24" s="73">
        <v>23247712.042750396</v>
      </c>
      <c r="D24" s="73">
        <v>23277731.168483071</v>
      </c>
      <c r="E24" s="73">
        <v>23735507.457223278</v>
      </c>
      <c r="F24" s="73">
        <v>24145496.035316158</v>
      </c>
      <c r="G24" s="73">
        <v>24622827.224222682</v>
      </c>
      <c r="H24" s="73">
        <v>25105645.733202249</v>
      </c>
    </row>
    <row r="25" spans="1:8">
      <c r="A25" s="27" t="s">
        <v>95</v>
      </c>
      <c r="B25" s="73">
        <v>537023177.96849132</v>
      </c>
      <c r="C25" s="73">
        <v>539186557.30837429</v>
      </c>
      <c r="D25" s="73">
        <v>543391187.90323317</v>
      </c>
      <c r="E25" s="73">
        <v>554720553.90970361</v>
      </c>
      <c r="F25" s="73">
        <v>566034619.45067132</v>
      </c>
      <c r="G25" s="73">
        <v>577871905.07110143</v>
      </c>
      <c r="H25" s="73">
        <v>589852292.51733613</v>
      </c>
    </row>
    <row r="26" spans="1:8">
      <c r="A26" s="27" t="s">
        <v>48</v>
      </c>
      <c r="B26" s="73">
        <v>87621924.115436286</v>
      </c>
      <c r="C26" s="73">
        <v>87689042.785080031</v>
      </c>
      <c r="D26" s="73">
        <v>87850336.935862854</v>
      </c>
      <c r="E26" s="73">
        <v>89718786.08314921</v>
      </c>
      <c r="F26" s="73">
        <v>92063709.149684697</v>
      </c>
      <c r="G26" s="73">
        <v>94025758.684799522</v>
      </c>
      <c r="H26" s="73">
        <v>96017390.575671867</v>
      </c>
    </row>
    <row r="27" spans="1:8">
      <c r="A27" s="27" t="s">
        <v>49</v>
      </c>
      <c r="B27" s="73">
        <v>38625979.515492029</v>
      </c>
      <c r="C27" s="73">
        <v>38674111.3823727</v>
      </c>
      <c r="D27" s="73">
        <v>38727395.029221646</v>
      </c>
      <c r="E27" s="73">
        <v>39543311.225342445</v>
      </c>
      <c r="F27" s="73">
        <v>40990827.487706505</v>
      </c>
      <c r="G27" s="73">
        <v>41856319.755748712</v>
      </c>
      <c r="H27" s="73">
        <v>42732870.82036075</v>
      </c>
    </row>
    <row r="28" spans="1:8">
      <c r="A28" s="27" t="s">
        <v>50</v>
      </c>
      <c r="B28" s="73">
        <v>34721200.398984671</v>
      </c>
      <c r="C28" s="73">
        <v>34738500.154497832</v>
      </c>
      <c r="D28" s="73">
        <v>34785609.9214039</v>
      </c>
      <c r="E28" s="73">
        <v>35513826.189595833</v>
      </c>
      <c r="F28" s="73">
        <v>36364072.747471139</v>
      </c>
      <c r="G28" s="73">
        <v>37127463.734848119</v>
      </c>
      <c r="H28" s="73">
        <v>37900358.418985926</v>
      </c>
    </row>
    <row r="29" spans="1:8">
      <c r="A29" s="27" t="s">
        <v>51</v>
      </c>
      <c r="B29" s="73">
        <v>51536662.564613424</v>
      </c>
      <c r="C29" s="73">
        <v>51560703.019895256</v>
      </c>
      <c r="D29" s="73">
        <v>51635626.987645417</v>
      </c>
      <c r="E29" s="73">
        <v>52695732.756537147</v>
      </c>
      <c r="F29" s="73">
        <v>53773844.787865885</v>
      </c>
      <c r="G29" s="73">
        <v>54881879.615518734</v>
      </c>
      <c r="H29" s="73">
        <v>56003219.599216305</v>
      </c>
    </row>
    <row r="30" spans="1:8">
      <c r="A30" s="27" t="s">
        <v>52</v>
      </c>
      <c r="B30" s="73">
        <v>59629607.262254879</v>
      </c>
      <c r="C30" s="73">
        <v>59680323.353728272</v>
      </c>
      <c r="D30" s="73">
        <v>59839432.020280071</v>
      </c>
      <c r="E30" s="73">
        <v>61107770.09972202</v>
      </c>
      <c r="F30" s="73">
        <v>62209972.802943178</v>
      </c>
      <c r="G30" s="73">
        <v>63537665.049478158</v>
      </c>
      <c r="H30" s="73">
        <v>64877534.077449903</v>
      </c>
    </row>
    <row r="31" spans="1:8">
      <c r="A31" s="27" t="s">
        <v>53</v>
      </c>
      <c r="B31" s="73">
        <v>30348164.891637016</v>
      </c>
      <c r="C31" s="73">
        <v>30424326.226409774</v>
      </c>
      <c r="D31" s="73">
        <v>30570804.394722778</v>
      </c>
      <c r="E31" s="73">
        <v>31185839.235522088</v>
      </c>
      <c r="F31" s="73">
        <v>31939787.072454505</v>
      </c>
      <c r="G31" s="73">
        <v>32585265.875297863</v>
      </c>
      <c r="H31" s="73">
        <v>33237901.944392242</v>
      </c>
    </row>
    <row r="32" spans="1:8">
      <c r="A32" s="27" t="s">
        <v>54</v>
      </c>
      <c r="B32" s="73">
        <v>230324428.92788523</v>
      </c>
      <c r="C32" s="73">
        <v>196244702.39441743</v>
      </c>
      <c r="D32" s="73">
        <v>197304636.91767889</v>
      </c>
      <c r="E32" s="73">
        <v>201432604.04458633</v>
      </c>
      <c r="F32" s="73">
        <v>205089337.54277483</v>
      </c>
      <c r="G32" s="73">
        <v>209392794.89664072</v>
      </c>
      <c r="H32" s="73">
        <v>213759199.19656411</v>
      </c>
    </row>
    <row r="33" spans="1:8">
      <c r="A33" s="27" t="s">
        <v>55</v>
      </c>
      <c r="B33" s="73">
        <v>339311760.67416304</v>
      </c>
      <c r="C33" s="73">
        <v>291398359.96611458</v>
      </c>
      <c r="D33" s="73">
        <v>293722670.14469135</v>
      </c>
      <c r="E33" s="73">
        <v>299823870.32376653</v>
      </c>
      <c r="F33" s="73">
        <v>305485897.68746501</v>
      </c>
      <c r="G33" s="73">
        <v>311852466.87774354</v>
      </c>
      <c r="H33" s="73">
        <v>318296115.42815834</v>
      </c>
    </row>
    <row r="34" spans="1:8">
      <c r="A34" s="27" t="s">
        <v>56</v>
      </c>
      <c r="B34" s="73">
        <v>131602214.7955853</v>
      </c>
      <c r="C34" s="73">
        <v>131656930.45722061</v>
      </c>
      <c r="D34" s="73">
        <v>131881884.97799827</v>
      </c>
      <c r="E34" s="73">
        <v>134729844.5394899</v>
      </c>
      <c r="F34" s="73">
        <v>137773013.32780805</v>
      </c>
      <c r="G34" s="73">
        <v>140752734.01065409</v>
      </c>
      <c r="H34" s="73">
        <v>143777880.31388626</v>
      </c>
    </row>
    <row r="35" spans="1:8">
      <c r="A35" s="27" t="s">
        <v>57</v>
      </c>
      <c r="B35" s="73">
        <v>101583604.72167662</v>
      </c>
      <c r="C35" s="73">
        <v>101757985.21770914</v>
      </c>
      <c r="D35" s="73">
        <v>102070009.99166174</v>
      </c>
      <c r="E35" s="73">
        <v>104203952.12320346</v>
      </c>
      <c r="F35" s="73">
        <v>106721192.99633455</v>
      </c>
      <c r="G35" s="73">
        <v>109055828.12220775</v>
      </c>
      <c r="H35" s="73">
        <v>111327171.60756023</v>
      </c>
    </row>
    <row r="36" spans="1:8">
      <c r="A36" s="27" t="s">
        <v>58</v>
      </c>
      <c r="B36" s="73">
        <v>28244679.465637866</v>
      </c>
      <c r="C36" s="73">
        <v>28270335.370150588</v>
      </c>
      <c r="D36" s="73">
        <v>28311834.417183239</v>
      </c>
      <c r="E36" s="73">
        <v>28878029.317746703</v>
      </c>
      <c r="F36" s="73">
        <v>29541797.438940909</v>
      </c>
      <c r="G36" s="73">
        <v>30135399.549018584</v>
      </c>
      <c r="H36" s="73">
        <v>30733819.198361564</v>
      </c>
    </row>
    <row r="37" spans="1:8">
      <c r="A37" s="27" t="s">
        <v>59</v>
      </c>
      <c r="B37" s="73">
        <v>94320943.120430261</v>
      </c>
      <c r="C37" s="73">
        <v>94497065.933278888</v>
      </c>
      <c r="D37" s="73">
        <v>94876993.026102483</v>
      </c>
      <c r="E37" s="73">
        <v>96886142.822707966</v>
      </c>
      <c r="F37" s="73">
        <v>99000284.131035164</v>
      </c>
      <c r="G37" s="73">
        <v>101102044.93089771</v>
      </c>
      <c r="H37" s="73">
        <v>103229452.86065446</v>
      </c>
    </row>
    <row r="38" spans="1:8">
      <c r="A38" s="27" t="s">
        <v>96</v>
      </c>
      <c r="B38" s="73">
        <v>19129871.145465404</v>
      </c>
      <c r="C38" s="73">
        <v>19147490.413488291</v>
      </c>
      <c r="D38" s="73">
        <v>19164690.895529903</v>
      </c>
      <c r="E38" s="73">
        <v>19519495.289080836</v>
      </c>
      <c r="F38" s="73">
        <v>20057165.567195158</v>
      </c>
      <c r="G38" s="73">
        <v>20431643.405800048</v>
      </c>
      <c r="H38" s="73">
        <v>20808806.09278148</v>
      </c>
    </row>
    <row r="39" spans="1:8">
      <c r="A39" s="27" t="s">
        <v>60</v>
      </c>
      <c r="B39" s="73">
        <v>811989.63611457823</v>
      </c>
      <c r="C39" s="73">
        <v>812130.85367617453</v>
      </c>
      <c r="D39" s="73">
        <v>812300.89787819667</v>
      </c>
      <c r="E39" s="73">
        <v>819114.80072766286</v>
      </c>
      <c r="F39" s="73">
        <v>825964.49867945339</v>
      </c>
      <c r="G39" s="73">
        <v>833084.90724435193</v>
      </c>
      <c r="H39" s="73">
        <v>840214.05855287029</v>
      </c>
    </row>
    <row r="40" spans="1:8">
      <c r="A40" s="27" t="s">
        <v>61</v>
      </c>
      <c r="B40" s="73">
        <v>23591336.991966181</v>
      </c>
      <c r="C40" s="73">
        <v>23593362.971481062</v>
      </c>
      <c r="D40" s="73">
        <v>23621720.346306216</v>
      </c>
      <c r="E40" s="73">
        <v>24100144.285724759</v>
      </c>
      <c r="F40" s="73">
        <v>24537165.164299224</v>
      </c>
      <c r="G40" s="73">
        <v>25036201.078246225</v>
      </c>
      <c r="H40" s="73">
        <v>25541208.453184806</v>
      </c>
    </row>
    <row r="41" spans="1:8">
      <c r="A41" s="27" t="s">
        <v>62</v>
      </c>
      <c r="B41" s="73">
        <v>57172865.618546136</v>
      </c>
      <c r="C41" s="73">
        <v>57170088.350725532</v>
      </c>
      <c r="D41" s="73">
        <v>57264254.244583696</v>
      </c>
      <c r="E41" s="73">
        <v>58478654.664831407</v>
      </c>
      <c r="F41" s="73">
        <v>59499671.673329048</v>
      </c>
      <c r="G41" s="73">
        <v>60764571.932538502</v>
      </c>
      <c r="H41" s="73">
        <v>62050220.838844396</v>
      </c>
    </row>
    <row r="42" spans="1:8">
      <c r="A42" s="27" t="s">
        <v>63</v>
      </c>
      <c r="B42" s="73">
        <v>15671744.11582025</v>
      </c>
      <c r="C42" s="73">
        <v>15677330.621364404</v>
      </c>
      <c r="D42" s="73">
        <v>15700871.989640657</v>
      </c>
      <c r="E42" s="73">
        <v>16013373.767340232</v>
      </c>
      <c r="F42" s="73">
        <v>16287647.588931397</v>
      </c>
      <c r="G42" s="73">
        <v>16613382.331443777</v>
      </c>
      <c r="H42" s="73">
        <v>16943378.391818624</v>
      </c>
    </row>
    <row r="43" spans="1:8">
      <c r="A43" s="27" t="s">
        <v>64</v>
      </c>
      <c r="B43" s="73">
        <v>573263437.00570142</v>
      </c>
      <c r="C43" s="73">
        <v>496369751.52034575</v>
      </c>
      <c r="D43" s="73">
        <v>499247928.54279065</v>
      </c>
      <c r="E43" s="73">
        <v>509679386.05695426</v>
      </c>
      <c r="F43" s="73">
        <v>518688832.26468939</v>
      </c>
      <c r="G43" s="73">
        <v>529559007.48299593</v>
      </c>
      <c r="H43" s="73">
        <v>540592571.91734529</v>
      </c>
    </row>
    <row r="44" spans="1:8">
      <c r="A44" s="27" t="s">
        <v>65</v>
      </c>
      <c r="B44" s="73">
        <v>43810139.300064571</v>
      </c>
      <c r="C44" s="73">
        <v>43843293.861321285</v>
      </c>
      <c r="D44" s="73">
        <v>43951327.809103586</v>
      </c>
      <c r="E44" s="73">
        <v>44853492.006388173</v>
      </c>
      <c r="F44" s="73">
        <v>45774861.298500896</v>
      </c>
      <c r="G44" s="73">
        <v>46717891.200102299</v>
      </c>
      <c r="H44" s="73">
        <v>47673574.704781935</v>
      </c>
    </row>
    <row r="45" spans="1:8">
      <c r="A45" s="27" t="s">
        <v>66</v>
      </c>
      <c r="B45" s="73">
        <v>1342157884.125746</v>
      </c>
      <c r="C45" s="73">
        <v>1286614738.4939058</v>
      </c>
      <c r="D45" s="73">
        <v>1298094548.5568552</v>
      </c>
      <c r="E45" s="73">
        <v>1325067993.790787</v>
      </c>
      <c r="F45" s="73">
        <v>1349621639.3066869</v>
      </c>
      <c r="G45" s="73">
        <v>1377854093.4095845</v>
      </c>
      <c r="H45" s="73">
        <v>1406305465.2394774</v>
      </c>
    </row>
    <row r="46" spans="1:8">
      <c r="A46" s="27" t="s">
        <v>67</v>
      </c>
      <c r="B46" s="73">
        <v>114759872.95171516</v>
      </c>
      <c r="C46" s="73">
        <v>114787836.71913178</v>
      </c>
      <c r="D46" s="73">
        <v>114969564.46085863</v>
      </c>
      <c r="E46" s="73">
        <v>117401311.52274051</v>
      </c>
      <c r="F46" s="73">
        <v>119647656.11234587</v>
      </c>
      <c r="G46" s="73">
        <v>122190356.46167417</v>
      </c>
      <c r="H46" s="73">
        <v>124762736.70726599</v>
      </c>
    </row>
    <row r="47" spans="1:8">
      <c r="A47" s="27" t="s">
        <v>68</v>
      </c>
      <c r="B47" s="73">
        <v>13689173.595636988</v>
      </c>
      <c r="C47" s="73">
        <v>13704286.056741061</v>
      </c>
      <c r="D47" s="73">
        <v>13717063.217588877</v>
      </c>
      <c r="E47" s="73">
        <v>13971978.729708711</v>
      </c>
      <c r="F47" s="73">
        <v>14449046.343701398</v>
      </c>
      <c r="G47" s="73">
        <v>14719959.345294805</v>
      </c>
      <c r="H47" s="73">
        <v>14993697.731344139</v>
      </c>
    </row>
    <row r="48" spans="1:8">
      <c r="A48" s="27" t="s">
        <v>97</v>
      </c>
      <c r="B48" s="73">
        <v>174852835.74649885</v>
      </c>
      <c r="C48" s="73">
        <v>175101634.0210624</v>
      </c>
      <c r="D48" s="73">
        <v>175747530.4672904</v>
      </c>
      <c r="E48" s="73">
        <v>179481005.40701482</v>
      </c>
      <c r="F48" s="73">
        <v>182883545.73020875</v>
      </c>
      <c r="G48" s="73">
        <v>186789530.49121714</v>
      </c>
      <c r="H48" s="73">
        <v>190737720.25232464</v>
      </c>
    </row>
    <row r="49" spans="1:8">
      <c r="A49" s="27" t="s">
        <v>69</v>
      </c>
      <c r="B49" s="73">
        <v>47171865.076667719</v>
      </c>
      <c r="C49" s="73">
        <v>47187489.413757034</v>
      </c>
      <c r="D49" s="73">
        <v>47248999.044902958</v>
      </c>
      <c r="E49" s="73">
        <v>48080686.449914254</v>
      </c>
      <c r="F49" s="73">
        <v>48831107.236538492</v>
      </c>
      <c r="G49" s="73">
        <v>49698437.870125569</v>
      </c>
      <c r="H49" s="73">
        <v>50575326.922613308</v>
      </c>
    </row>
    <row r="50" spans="1:8">
      <c r="A50" s="27" t="s">
        <v>70</v>
      </c>
      <c r="B50" s="73">
        <v>93960862.60211499</v>
      </c>
      <c r="C50" s="73">
        <v>94142548.980685517</v>
      </c>
      <c r="D50" s="73">
        <v>94548055.611438394</v>
      </c>
      <c r="E50" s="73">
        <v>96529550.902194947</v>
      </c>
      <c r="F50" s="73">
        <v>98481409.684699431</v>
      </c>
      <c r="G50" s="73">
        <v>100552690.43093672</v>
      </c>
      <c r="H50" s="73">
        <v>102650075.31817444</v>
      </c>
    </row>
    <row r="51" spans="1:8">
      <c r="A51" s="27" t="s">
        <v>71</v>
      </c>
      <c r="B51" s="73">
        <v>387365824.90586275</v>
      </c>
      <c r="C51" s="73">
        <v>388931651.66205704</v>
      </c>
      <c r="D51" s="73">
        <v>391910030.66257811</v>
      </c>
      <c r="E51" s="73">
        <v>400021472.45793611</v>
      </c>
      <c r="F51" s="73">
        <v>409031439.92417765</v>
      </c>
      <c r="G51" s="73">
        <v>417529069.94774735</v>
      </c>
      <c r="H51" s="73">
        <v>426119599.00901788</v>
      </c>
    </row>
    <row r="52" spans="1:8">
      <c r="A52" s="27" t="s">
        <v>72</v>
      </c>
      <c r="B52" s="73">
        <v>67260622.84324491</v>
      </c>
      <c r="C52" s="73">
        <v>67396161.901858032</v>
      </c>
      <c r="D52" s="73">
        <v>67626436.646932185</v>
      </c>
      <c r="E52" s="73">
        <v>69072651.103224084</v>
      </c>
      <c r="F52" s="73">
        <v>71025786.502060413</v>
      </c>
      <c r="G52" s="73">
        <v>72547284.465954378</v>
      </c>
      <c r="H52" s="73">
        <v>74093358.968154833</v>
      </c>
    </row>
    <row r="53" spans="1:8">
      <c r="A53" s="27" t="s">
        <v>98</v>
      </c>
      <c r="B53" s="73">
        <v>36370776.718488581</v>
      </c>
      <c r="C53" s="73">
        <v>27604371.012774486</v>
      </c>
      <c r="D53" s="73">
        <v>27695085.810093693</v>
      </c>
      <c r="E53" s="73">
        <v>28256636.564725973</v>
      </c>
      <c r="F53" s="73">
        <v>28725215.701380614</v>
      </c>
      <c r="G53" s="73">
        <v>29310044.798601039</v>
      </c>
      <c r="H53" s="73">
        <v>29904670.37075736</v>
      </c>
    </row>
    <row r="54" spans="1:8">
      <c r="A54" s="27" t="s">
        <v>73</v>
      </c>
      <c r="B54" s="73">
        <v>46830050.116782852</v>
      </c>
      <c r="C54" s="73">
        <v>46853125.573095992</v>
      </c>
      <c r="D54" s="73">
        <v>46937710.000574209</v>
      </c>
      <c r="E54" s="73">
        <v>47923956.331418194</v>
      </c>
      <c r="F54" s="73">
        <v>48865287.051917776</v>
      </c>
      <c r="G54" s="73">
        <v>49894855.191903912</v>
      </c>
      <c r="H54" s="73">
        <v>50937533.358148672</v>
      </c>
    </row>
    <row r="55" spans="1:8">
      <c r="A55" s="27" t="s">
        <v>74</v>
      </c>
      <c r="B55" s="73">
        <v>15500615.732969012</v>
      </c>
      <c r="C55" s="73">
        <v>15508726.242129156</v>
      </c>
      <c r="D55" s="73">
        <v>15522436.85227851</v>
      </c>
      <c r="E55" s="73">
        <v>15783973.702325048</v>
      </c>
      <c r="F55" s="73">
        <v>16098609.422823735</v>
      </c>
      <c r="G55" s="73">
        <v>16372969.294913307</v>
      </c>
      <c r="H55" s="73">
        <v>16649584.126122927</v>
      </c>
    </row>
    <row r="56" spans="1:8">
      <c r="A56" s="27" t="s">
        <v>75</v>
      </c>
      <c r="B56" s="73">
        <v>85414173.837452203</v>
      </c>
      <c r="C56" s="73">
        <v>85461861.010895178</v>
      </c>
      <c r="D56" s="73">
        <v>85646101.996331975</v>
      </c>
      <c r="E56" s="73">
        <v>87439590.266425401</v>
      </c>
      <c r="F56" s="73">
        <v>89066098.42823346</v>
      </c>
      <c r="G56" s="73">
        <v>90936612.275093704</v>
      </c>
      <c r="H56" s="73">
        <v>92833071.674661919</v>
      </c>
    </row>
    <row r="57" spans="1:8">
      <c r="A57" s="27" t="s">
        <v>76</v>
      </c>
      <c r="B57" s="73">
        <v>415592412.47129476</v>
      </c>
      <c r="C57" s="73">
        <v>415867964.51718849</v>
      </c>
      <c r="D57" s="73">
        <v>416891004.29905254</v>
      </c>
      <c r="E57" s="73">
        <v>425884731.68796718</v>
      </c>
      <c r="F57" s="73">
        <v>433597675.46688181</v>
      </c>
      <c r="G57" s="73">
        <v>443096076.4527092</v>
      </c>
      <c r="H57" s="73">
        <v>452617817.14953172</v>
      </c>
    </row>
    <row r="58" spans="1:8">
      <c r="A58" s="27" t="s">
        <v>77</v>
      </c>
      <c r="B58" s="73">
        <v>70692670.568050548</v>
      </c>
      <c r="C58" s="73">
        <v>70754181.006417915</v>
      </c>
      <c r="D58" s="73">
        <v>70940064.475986153</v>
      </c>
      <c r="E58" s="73">
        <v>72424926.860890403</v>
      </c>
      <c r="F58" s="73">
        <v>73861366.881809339</v>
      </c>
      <c r="G58" s="73">
        <v>75426044.057269409</v>
      </c>
      <c r="H58" s="73">
        <v>77002159.328816906</v>
      </c>
    </row>
    <row r="59" spans="1:8">
      <c r="A59" s="27" t="s">
        <v>99</v>
      </c>
      <c r="B59" s="73">
        <v>8370585.2369895615</v>
      </c>
      <c r="C59" s="73">
        <v>8392817.7701104991</v>
      </c>
      <c r="D59" s="73">
        <v>8401812.8922205325</v>
      </c>
      <c r="E59" s="73">
        <v>8555645.3377785161</v>
      </c>
      <c r="F59" s="73">
        <v>9036614.8521645945</v>
      </c>
      <c r="G59" s="73">
        <v>9204066.1269929204</v>
      </c>
      <c r="H59" s="73">
        <v>9373047.4791132789</v>
      </c>
    </row>
    <row r="60" spans="1:8">
      <c r="A60" s="27" t="s">
        <v>100</v>
      </c>
      <c r="B60" s="73">
        <v>1843783.1673340281</v>
      </c>
      <c r="C60" s="73">
        <v>1845096.7286460798</v>
      </c>
      <c r="D60" s="73">
        <v>1848526.2535757381</v>
      </c>
      <c r="E60" s="73">
        <v>1877943.5429000859</v>
      </c>
      <c r="F60" s="73">
        <v>1901863.9186995048</v>
      </c>
      <c r="G60" s="73">
        <v>1932488.0699299772</v>
      </c>
      <c r="H60" s="73">
        <v>1963663.670902591</v>
      </c>
    </row>
    <row r="61" spans="1:8">
      <c r="A61" s="27" t="s">
        <v>78</v>
      </c>
      <c r="B61" s="73">
        <v>161234228.21724939</v>
      </c>
      <c r="C61" s="73">
        <v>161273511.06315646</v>
      </c>
      <c r="D61" s="73">
        <v>161456558.42177168</v>
      </c>
      <c r="E61" s="73">
        <v>164878999.51939145</v>
      </c>
      <c r="F61" s="73">
        <v>169026974.82265499</v>
      </c>
      <c r="G61" s="73">
        <v>172639371.45522338</v>
      </c>
      <c r="H61" s="73">
        <v>176295028.69304544</v>
      </c>
    </row>
    <row r="62" spans="1:8">
      <c r="A62" s="27" t="s">
        <v>79</v>
      </c>
      <c r="B62" s="73">
        <v>231768948.02926096</v>
      </c>
      <c r="C62" s="73">
        <v>232603489.96454987</v>
      </c>
      <c r="D62" s="73">
        <v>233750389.77376533</v>
      </c>
      <c r="E62" s="73">
        <v>238677788.95861903</v>
      </c>
      <c r="F62" s="73">
        <v>244310899.34157228</v>
      </c>
      <c r="G62" s="73">
        <v>249686273.0443731</v>
      </c>
      <c r="H62" s="73">
        <v>254927913.30623299</v>
      </c>
    </row>
    <row r="63" spans="1:8">
      <c r="A63" s="27" t="s">
        <v>80</v>
      </c>
      <c r="B63" s="73">
        <v>24824408.331554729</v>
      </c>
      <c r="C63" s="73">
        <v>24882243.793472093</v>
      </c>
      <c r="D63" s="73">
        <v>24938642.190539274</v>
      </c>
      <c r="E63" s="73">
        <v>25408464.74475747</v>
      </c>
      <c r="F63" s="73">
        <v>26410556.426518008</v>
      </c>
      <c r="G63" s="73">
        <v>26912389.13845817</v>
      </c>
      <c r="H63" s="73">
        <v>27419606.877809789</v>
      </c>
    </row>
    <row r="64" spans="1:8">
      <c r="A64" s="27" t="s">
        <v>101</v>
      </c>
      <c r="B64" s="73">
        <v>80216786.922118753</v>
      </c>
      <c r="C64" s="73">
        <v>80277296.626331925</v>
      </c>
      <c r="D64" s="73">
        <v>80407746.042478338</v>
      </c>
      <c r="E64" s="73">
        <v>82093034.751898676</v>
      </c>
      <c r="F64" s="73">
        <v>84424943.244913787</v>
      </c>
      <c r="G64" s="73">
        <v>86199112.420938715</v>
      </c>
      <c r="H64" s="73">
        <v>87999281.33980374</v>
      </c>
    </row>
    <row r="65" spans="1:10">
      <c r="A65" s="27" t="s">
        <v>102</v>
      </c>
      <c r="B65" s="73">
        <v>10937600.008741822</v>
      </c>
      <c r="C65" s="73">
        <v>10941042.976491122</v>
      </c>
      <c r="D65" s="73">
        <v>10949767.152238818</v>
      </c>
      <c r="E65" s="73">
        <v>11158049.585632976</v>
      </c>
      <c r="F65" s="73">
        <v>11357322.295739811</v>
      </c>
      <c r="G65" s="73">
        <v>11574762.992738668</v>
      </c>
      <c r="H65" s="73">
        <v>11793449.046183279</v>
      </c>
    </row>
    <row r="66" spans="1:10">
      <c r="A66" s="27" t="s">
        <v>82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</row>
    <row r="67" spans="1:10" s="121" customFormat="1" ht="15.75" thickBot="1">
      <c r="A67" s="100" t="s">
        <v>83</v>
      </c>
      <c r="B67" s="120">
        <v>8482130936.1893997</v>
      </c>
      <c r="C67" s="120">
        <v>8251087238.1487513</v>
      </c>
      <c r="D67" s="120">
        <v>8296411914.8999996</v>
      </c>
      <c r="E67" s="120">
        <v>8470110758.638751</v>
      </c>
      <c r="F67" s="120">
        <v>8644715780.75</v>
      </c>
      <c r="G67" s="120">
        <v>8826225163.6800003</v>
      </c>
      <c r="H67" s="120">
        <v>9010159783.9578934</v>
      </c>
    </row>
    <row r="68" spans="1:10" ht="15.75" thickTop="1">
      <c r="A68" s="28" t="s">
        <v>84</v>
      </c>
      <c r="B68" s="73">
        <v>54195663.875</v>
      </c>
      <c r="C68" s="73">
        <v>57410252.818009101</v>
      </c>
      <c r="D68" s="73">
        <v>57732576.066759087</v>
      </c>
      <c r="E68" s="73">
        <v>58939096.150601298</v>
      </c>
      <c r="F68" s="73">
        <v>60151913.494747594</v>
      </c>
      <c r="G68" s="73">
        <v>61412685.577265032</v>
      </c>
      <c r="H68" s="73">
        <v>62691029.461447269</v>
      </c>
    </row>
    <row r="69" spans="1:10" s="72" customFormat="1">
      <c r="A69" s="28" t="s">
        <v>152</v>
      </c>
      <c r="B69" s="73"/>
      <c r="C69" s="73">
        <f t="shared" ref="C69:H69" si="0">C68-C84</f>
        <v>60853361.851248465</v>
      </c>
      <c r="D69" s="73">
        <f t="shared" si="0"/>
        <v>61175685.100000359</v>
      </c>
      <c r="E69" s="73">
        <f t="shared" si="0"/>
        <v>62349827.361248881</v>
      </c>
      <c r="F69" s="73">
        <f t="shared" si="0"/>
        <v>63530096.249998525</v>
      </c>
      <c r="G69" s="73">
        <f t="shared" si="0"/>
        <v>64757034.319999941</v>
      </c>
      <c r="H69" s="73">
        <f t="shared" si="0"/>
        <v>63779187.042107135</v>
      </c>
    </row>
    <row r="70" spans="1:10">
      <c r="A70" s="28"/>
      <c r="B70" s="73">
        <v>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</row>
    <row r="71" spans="1:10" s="121" customFormat="1" ht="15.75" thickBot="1">
      <c r="A71" s="101" t="s">
        <v>83</v>
      </c>
      <c r="B71" s="120">
        <v>8536326600.0643997</v>
      </c>
      <c r="C71" s="120">
        <v>8308497490.9667606</v>
      </c>
      <c r="D71" s="120">
        <v>8354144490.9667587</v>
      </c>
      <c r="E71" s="120">
        <v>8529049854.7893524</v>
      </c>
      <c r="F71" s="120">
        <v>8704867694.2447491</v>
      </c>
      <c r="G71" s="120">
        <v>8887637849.2572651</v>
      </c>
      <c r="H71" s="120">
        <v>9072850813.4193401</v>
      </c>
    </row>
    <row r="72" spans="1:10" ht="15.75" thickTop="1">
      <c r="A72" s="94" t="s">
        <v>85</v>
      </c>
      <c r="B72" s="73">
        <v>30000000</v>
      </c>
      <c r="C72" s="73">
        <v>30000000</v>
      </c>
      <c r="D72" s="73">
        <v>30000000</v>
      </c>
      <c r="E72" s="73">
        <v>30000000</v>
      </c>
      <c r="F72" s="73">
        <v>30000000</v>
      </c>
      <c r="G72" s="73">
        <v>30000000</v>
      </c>
      <c r="H72" s="73">
        <v>30000000</v>
      </c>
    </row>
    <row r="73" spans="1:10">
      <c r="A73" s="95" t="s">
        <v>122</v>
      </c>
      <c r="B73" s="73">
        <v>5000000</v>
      </c>
      <c r="C73" s="73">
        <v>5000000</v>
      </c>
      <c r="D73" s="73">
        <v>5000000</v>
      </c>
      <c r="E73" s="73">
        <v>5000000</v>
      </c>
      <c r="F73" s="73">
        <v>5000000</v>
      </c>
      <c r="G73" s="73">
        <v>5000000</v>
      </c>
      <c r="H73" s="73">
        <v>5000000</v>
      </c>
    </row>
    <row r="74" spans="1:10" s="47" customFormat="1">
      <c r="A74" s="122" t="s">
        <v>123</v>
      </c>
      <c r="B74" s="123">
        <v>1823400</v>
      </c>
      <c r="C74" s="123">
        <v>1823400</v>
      </c>
      <c r="D74" s="123">
        <v>1823400</v>
      </c>
      <c r="E74" s="46">
        <v>1860414</v>
      </c>
      <c r="F74" s="46">
        <v>1897623</v>
      </c>
      <c r="G74" s="46">
        <v>1936302</v>
      </c>
      <c r="H74" s="46">
        <v>1975029</v>
      </c>
    </row>
    <row r="75" spans="1:10" s="47" customFormat="1">
      <c r="A75" s="122" t="s">
        <v>140</v>
      </c>
      <c r="B75" s="123">
        <v>0</v>
      </c>
      <c r="C75" s="123">
        <v>90000000</v>
      </c>
      <c r="D75" s="123">
        <v>200000000</v>
      </c>
      <c r="E75" s="123">
        <v>200000000</v>
      </c>
      <c r="F75" s="123">
        <v>200000000</v>
      </c>
      <c r="G75" s="123">
        <v>200000000</v>
      </c>
      <c r="H75" s="123">
        <v>200000000</v>
      </c>
    </row>
    <row r="76" spans="1:10" s="47" customFormat="1">
      <c r="A76" s="122" t="s">
        <v>142</v>
      </c>
      <c r="B76" s="123">
        <v>0</v>
      </c>
      <c r="C76" s="123">
        <v>262950000</v>
      </c>
      <c r="D76" s="123">
        <v>262950000</v>
      </c>
      <c r="E76" s="123">
        <v>268288000</v>
      </c>
      <c r="F76" s="123">
        <v>273653500</v>
      </c>
      <c r="G76" s="123">
        <v>279231500</v>
      </c>
      <c r="H76" s="123">
        <v>284816000</v>
      </c>
    </row>
    <row r="77" spans="1:10" s="47" customFormat="1">
      <c r="A77" s="122" t="s">
        <v>141</v>
      </c>
      <c r="B77" s="123">
        <v>0</v>
      </c>
      <c r="C77" s="123">
        <v>352950000</v>
      </c>
      <c r="D77" s="123">
        <v>462950000</v>
      </c>
      <c r="E77" s="123">
        <v>468288000</v>
      </c>
      <c r="F77" s="123">
        <v>473653500</v>
      </c>
      <c r="G77" s="123">
        <v>479231500</v>
      </c>
      <c r="H77" s="123">
        <v>484816000</v>
      </c>
    </row>
    <row r="78" spans="1:10" s="47" customFormat="1">
      <c r="A78" s="122" t="s">
        <v>150</v>
      </c>
      <c r="B78" s="123">
        <v>10000000</v>
      </c>
      <c r="C78" s="123">
        <v>10000000</v>
      </c>
      <c r="D78" s="123">
        <v>10000000</v>
      </c>
      <c r="E78" s="123">
        <v>10000000</v>
      </c>
      <c r="F78" s="123">
        <v>10000000</v>
      </c>
      <c r="G78" s="123">
        <v>10000000</v>
      </c>
      <c r="H78" s="123">
        <v>10000000</v>
      </c>
    </row>
    <row r="79" spans="1:10" s="47" customFormat="1">
      <c r="A79" s="122" t="s">
        <v>12</v>
      </c>
      <c r="B79" s="46">
        <v>3850000</v>
      </c>
      <c r="C79" s="46">
        <v>3850000</v>
      </c>
      <c r="D79" s="46">
        <v>3850000</v>
      </c>
      <c r="E79" s="46">
        <v>3850000</v>
      </c>
      <c r="F79" s="46">
        <v>3850000</v>
      </c>
      <c r="G79" s="46">
        <v>3850000</v>
      </c>
      <c r="H79" s="46">
        <v>3850000</v>
      </c>
      <c r="I79" s="46"/>
      <c r="J79" s="46"/>
    </row>
    <row r="80" spans="1:10" s="47" customFormat="1">
      <c r="A80" s="122" t="s">
        <v>136</v>
      </c>
      <c r="B80" s="46">
        <v>5000000</v>
      </c>
      <c r="C80" s="46">
        <v>5000000</v>
      </c>
      <c r="D80" s="46">
        <v>5000000</v>
      </c>
      <c r="E80" s="46">
        <v>5000000</v>
      </c>
      <c r="F80" s="46">
        <v>5000000</v>
      </c>
      <c r="G80" s="46">
        <v>5000000</v>
      </c>
      <c r="H80" s="46">
        <v>5000000</v>
      </c>
      <c r="I80" s="46"/>
      <c r="J80" s="46"/>
    </row>
    <row r="81" spans="1:8" s="47" customFormat="1">
      <c r="A81" s="122" t="s">
        <v>151</v>
      </c>
      <c r="B81" s="123">
        <v>3000000</v>
      </c>
      <c r="C81" s="123">
        <v>3000000</v>
      </c>
      <c r="D81" s="123">
        <v>3000000</v>
      </c>
      <c r="E81" s="123">
        <v>3000000</v>
      </c>
      <c r="F81" s="123">
        <v>3000000</v>
      </c>
      <c r="G81" s="123">
        <v>3000000</v>
      </c>
      <c r="H81" s="123">
        <v>3000000</v>
      </c>
    </row>
    <row r="82" spans="1:8" s="121" customFormat="1" ht="15.75" thickBot="1">
      <c r="A82" s="99" t="s">
        <v>86</v>
      </c>
      <c r="B82" s="120">
        <f>B71+SUM(B72:B81)</f>
        <v>8595000000.0643997</v>
      </c>
      <c r="C82" s="120">
        <f t="shared" ref="C82:H82" si="1">C71+C72+C73+C74+C77+C78+C79+C80+C81</f>
        <v>8720120890.9667606</v>
      </c>
      <c r="D82" s="120">
        <f t="shared" si="1"/>
        <v>8875767890.9667587</v>
      </c>
      <c r="E82" s="120">
        <f t="shared" si="1"/>
        <v>9056048268.7893524</v>
      </c>
      <c r="F82" s="120">
        <f t="shared" si="1"/>
        <v>9237268817.2447491</v>
      </c>
      <c r="G82" s="120">
        <f t="shared" si="1"/>
        <v>9425655651.2572651</v>
      </c>
      <c r="H82" s="120">
        <f t="shared" si="1"/>
        <v>9616491842.4193401</v>
      </c>
    </row>
    <row r="83" spans="1:8" ht="15.75" thickTop="1">
      <c r="A83" s="48" t="s">
        <v>153</v>
      </c>
      <c r="B83" s="73">
        <v>8595000000.0643997</v>
      </c>
      <c r="C83" s="73">
        <v>8723564000</v>
      </c>
      <c r="D83" s="73">
        <v>8879211000</v>
      </c>
      <c r="E83" s="73">
        <v>9059459000</v>
      </c>
      <c r="F83" s="73">
        <v>9240647000</v>
      </c>
      <c r="G83" s="73">
        <v>9429000000</v>
      </c>
      <c r="H83" s="73">
        <v>9617580000</v>
      </c>
    </row>
    <row r="84" spans="1:8">
      <c r="A84" s="48" t="s">
        <v>154</v>
      </c>
      <c r="B84" s="73">
        <v>0</v>
      </c>
      <c r="C84" s="73">
        <f t="shared" ref="C84:H84" si="2">C82-C83</f>
        <v>-3443109.0332393646</v>
      </c>
      <c r="D84" s="73">
        <f t="shared" si="2"/>
        <v>-3443109.033241272</v>
      </c>
      <c r="E84" s="73">
        <f t="shared" si="2"/>
        <v>-3410731.210647583</v>
      </c>
      <c r="F84" s="73">
        <f t="shared" si="2"/>
        <v>-3378182.7552509308</v>
      </c>
      <c r="G84" s="73">
        <f t="shared" si="2"/>
        <v>-3344348.7427349091</v>
      </c>
      <c r="H84" s="73">
        <f t="shared" si="2"/>
        <v>-1088157.5806598663</v>
      </c>
    </row>
    <row r="85" spans="1:8">
      <c r="B85" s="73"/>
      <c r="C85" s="73">
        <f>C67+C69+C72+C73+C74+C77+C78+C79+C80+C81</f>
        <v>8723564000</v>
      </c>
      <c r="D85" s="73"/>
      <c r="E85" s="73"/>
      <c r="F85" s="73"/>
      <c r="G85" s="73"/>
      <c r="H85" s="73"/>
    </row>
    <row r="86" spans="1:8">
      <c r="B86" s="73"/>
      <c r="C86" s="73"/>
      <c r="D86" s="73"/>
      <c r="E86" s="73"/>
      <c r="F86" s="73"/>
      <c r="G86" s="73"/>
      <c r="H86" s="73"/>
    </row>
    <row r="87" spans="1:8">
      <c r="B87" s="73"/>
      <c r="C87" s="73"/>
      <c r="D87" s="73"/>
      <c r="E87" s="73"/>
      <c r="F87" s="73"/>
      <c r="G87" s="73"/>
      <c r="H87" s="73"/>
    </row>
    <row r="88" spans="1:8">
      <c r="B88" s="73"/>
      <c r="C88" s="73"/>
      <c r="D88" s="73"/>
      <c r="E88" s="73"/>
      <c r="F88" s="73"/>
      <c r="G88" s="73"/>
      <c r="H88" s="73"/>
    </row>
    <row r="89" spans="1:8">
      <c r="B89" s="73"/>
      <c r="C89" s="73"/>
      <c r="D89" s="73"/>
      <c r="E89" s="73"/>
      <c r="F89" s="73"/>
      <c r="G89" s="73"/>
      <c r="H89" s="73"/>
    </row>
    <row r="90" spans="1:8">
      <c r="B90" s="73"/>
      <c r="C90" s="73"/>
      <c r="D90" s="73"/>
      <c r="E90" s="73"/>
      <c r="F90" s="73"/>
      <c r="G90" s="73"/>
      <c r="H90" s="73"/>
    </row>
    <row r="91" spans="1:8">
      <c r="B91" s="73"/>
      <c r="C91" s="73"/>
      <c r="D91" s="73"/>
      <c r="E91" s="73"/>
      <c r="F91" s="73"/>
      <c r="G91" s="73"/>
      <c r="H91" s="73"/>
    </row>
    <row r="92" spans="1:8">
      <c r="B92" s="73"/>
      <c r="C92" s="73"/>
      <c r="D92" s="73"/>
      <c r="E92" s="73"/>
      <c r="F92" s="73"/>
      <c r="G92" s="73"/>
      <c r="H92" s="73"/>
    </row>
    <row r="93" spans="1:8">
      <c r="B93" s="73"/>
      <c r="C93" s="73"/>
      <c r="D93" s="73"/>
      <c r="E93" s="73"/>
      <c r="F93" s="73"/>
      <c r="G93" s="73"/>
      <c r="H93" s="73"/>
    </row>
    <row r="94" spans="1:8">
      <c r="B94" s="73"/>
      <c r="C94" s="73"/>
      <c r="D94" s="73"/>
      <c r="E94" s="73"/>
      <c r="F94" s="73"/>
      <c r="G94" s="73"/>
      <c r="H94" s="73"/>
    </row>
    <row r="95" spans="1:8">
      <c r="B95" s="73"/>
      <c r="C95" s="73"/>
      <c r="D95" s="73"/>
      <c r="E95" s="73"/>
      <c r="F95" s="73"/>
      <c r="G95" s="73"/>
      <c r="H95" s="73"/>
    </row>
    <row r="96" spans="1:8">
      <c r="B96" s="73"/>
      <c r="C96" s="73"/>
      <c r="D96" s="73"/>
      <c r="E96" s="73"/>
      <c r="F96" s="73"/>
      <c r="G96" s="73"/>
      <c r="H96" s="73"/>
    </row>
    <row r="97" spans="3:8">
      <c r="C97" s="73"/>
      <c r="D97" s="73"/>
      <c r="E97" s="73"/>
      <c r="F97" s="73"/>
      <c r="G97" s="73"/>
      <c r="H97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32885D8C4D0418A97624D3BF3467F" ma:contentTypeVersion="0" ma:contentTypeDescription="Create a new document." ma:contentTypeScope="" ma:versionID="59ccde648de7efde662ca4102f4373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3A0272-2AF6-4640-8B88-73467C600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EB098-9D94-4661-8D84-B7026F1FA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78B63D-BBD2-41A9-9A97-5DFA6460085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Budget STRRA</vt:lpstr>
      <vt:lpstr>Program Totals</vt:lpstr>
      <vt:lpstr>State totals FY 15-21</vt:lpstr>
      <vt:lpstr>Revised state totals 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Jackie Schmitz</cp:lastModifiedBy>
  <cp:lastPrinted>2015-11-25T13:41:12Z</cp:lastPrinted>
  <dcterms:created xsi:type="dcterms:W3CDTF">2014-12-04T17:19:14Z</dcterms:created>
  <dcterms:modified xsi:type="dcterms:W3CDTF">2021-06-14T15:21:06Z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0x010100FCC32885D8C4D0418A97624D3BF3467F</vt:lpwstr>
  </property>
</Properties>
</file>